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Sheet1!$A$3:$M$247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68" name="ID_3472FA53F8324892B323AE288F47EE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74865" y="12176125"/>
          <a:ext cx="332740" cy="3714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3BB157A57CA44CE68EC35D6040AF26B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5400000" flipH="1">
          <a:off x="7075170" y="19064605"/>
          <a:ext cx="276225" cy="4305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EB956F952CB845BF9FC63AF19A90B99C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5400000">
          <a:off x="7051040" y="19713575"/>
          <a:ext cx="368300" cy="4914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6A334BC8002F48BC9814EB82C2F0922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031990" y="20467320"/>
          <a:ext cx="364490" cy="3162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1" name="ID_B53C97EC70DC41BA907BF12CCEF18FB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 rot="5400000">
          <a:off x="7138670" y="24810720"/>
          <a:ext cx="196215" cy="5086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" name="ID_B536CF0D562F4A1CA5574D54285AA1B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 flipV="1">
          <a:off x="7108190" y="28670250"/>
          <a:ext cx="313690" cy="2571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7" name="ID_22E24F8C4FBE4FF7A7BC6103D3CB5F5E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7212965" y="29324300"/>
          <a:ext cx="187960" cy="3797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4" name="ID_E2DF9A945D0A42EF929287C9BE1B6A9B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 rot="5400000">
          <a:off x="7099300" y="33651190"/>
          <a:ext cx="352425" cy="6076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8" name="ID_EF827B04D70C4683ADC06983F4E5D275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 rot="5400000">
          <a:off x="7188835" y="36864925"/>
          <a:ext cx="209550" cy="6756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9" name="ID_2DEB314B06DD4F47A2D85F4D5C953D68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 rot="5400000">
          <a:off x="7152005" y="38143180"/>
          <a:ext cx="288925" cy="5118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21" name="ID_1A3752CDBCEE4A3BB49AC6B29CCD3C92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7022465" y="40100250"/>
          <a:ext cx="247015" cy="3352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23" name="ID_EF786148AC7A45A0B5FE1A262874DF06"/>
        <xdr:cNvPicPr>
          <a:picLocks noChangeAspect="1" noChangeArrowheads="1"/>
        </xdr:cNvPicPr>
      </xdr:nvPicPr>
      <xdr:blipFill>
        <a:blip r:embed="rId12"/>
        <a:srcRect/>
        <a:stretch>
          <a:fillRect/>
        </a:stretch>
      </xdr:blipFill>
      <xdr:spPr>
        <a:xfrm rot="5400000">
          <a:off x="7074535" y="40626030"/>
          <a:ext cx="271780" cy="65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24" name="ID_33EE011491874F86AD26D9AC216A6DEA"/>
        <xdr:cNvPicPr>
          <a:picLocks noChangeAspect="1" noChangeArrowheads="1"/>
        </xdr:cNvPicPr>
      </xdr:nvPicPr>
      <xdr:blipFill>
        <a:blip r:embed="rId13"/>
        <a:srcRect/>
        <a:stretch>
          <a:fillRect/>
        </a:stretch>
      </xdr:blipFill>
      <xdr:spPr>
        <a:xfrm rot="5400000">
          <a:off x="7124065" y="41240075"/>
          <a:ext cx="233680" cy="561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25" name="ID_846AB44945D442748D7742E93A5A7E42"/>
        <xdr:cNvPicPr>
          <a:picLocks noChangeAspect="1" noChangeArrowheads="1"/>
        </xdr:cNvPicPr>
      </xdr:nvPicPr>
      <xdr:blipFill>
        <a:blip r:embed="rId14"/>
        <a:srcRect/>
        <a:stretch>
          <a:fillRect/>
        </a:stretch>
      </xdr:blipFill>
      <xdr:spPr>
        <a:xfrm rot="5400000">
          <a:off x="7185025" y="42004615"/>
          <a:ext cx="205105" cy="4933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26" name="ID_10D686312011424A8E76E51B56CC5802"/>
        <xdr:cNvPicPr>
          <a:picLocks noChangeAspect="1" noChangeArrowheads="1"/>
        </xdr:cNvPicPr>
      </xdr:nvPicPr>
      <xdr:blipFill>
        <a:blip r:embed="rId15"/>
        <a:srcRect/>
        <a:stretch>
          <a:fillRect/>
        </a:stretch>
      </xdr:blipFill>
      <xdr:spPr>
        <a:xfrm rot="5400000">
          <a:off x="7130415" y="43171745"/>
          <a:ext cx="257810" cy="6165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27" name="ID_49F48DE140A64BD4A336CF066F01DA39"/>
        <xdr:cNvPicPr>
          <a:picLocks noChangeAspect="1" noChangeArrowheads="1"/>
        </xdr:cNvPicPr>
      </xdr:nvPicPr>
      <xdr:blipFill>
        <a:blip r:embed="rId13"/>
        <a:srcRect/>
        <a:stretch>
          <a:fillRect/>
        </a:stretch>
      </xdr:blipFill>
      <xdr:spPr>
        <a:xfrm rot="5400000">
          <a:off x="7140575" y="43799125"/>
          <a:ext cx="236220" cy="5689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34" name="ID_29672FAACEF84BAF9243D982E4C8E1B5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7079615" y="49088040"/>
          <a:ext cx="323850" cy="4038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6" name="ID_CC0D883B27DF4537ADC7679F3940E146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7079615" y="50250090"/>
          <a:ext cx="295910" cy="3594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01" name="ID_FF282777F6BF43D5BFC1548D582EB689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6901180" y="54768750"/>
          <a:ext cx="695960" cy="4375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3" name="ID_AAE011CB10484FA7B1BDE02CE65FFEBE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 rot="5400000">
          <a:off x="7157085" y="57837705"/>
          <a:ext cx="267335" cy="5930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8" name="ID_1329205F74A54F0FBBB3C7F7DBE329E4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 rot="5400000">
          <a:off x="7057390" y="112333405"/>
          <a:ext cx="457200" cy="8362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9" name="ID_AA1F667D0D214341820A52871E2219B8"/>
        <xdr:cNvPicPr>
          <a:picLocks noChangeAspect="1"/>
        </xdr:cNvPicPr>
      </xdr:nvPicPr>
      <xdr:blipFill>
        <a:blip r:embed="rId21"/>
        <a:stretch>
          <a:fillRect/>
        </a:stretch>
      </xdr:blipFill>
      <xdr:spPr>
        <a:xfrm rot="5400000">
          <a:off x="7114540" y="80576420"/>
          <a:ext cx="387985" cy="8026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" name="ID_B5E28FE502584308A5E2FEDC89636946"/>
        <xdr:cNvPicPr>
          <a:picLocks noChangeAspect="1"/>
        </xdr:cNvPicPr>
      </xdr:nvPicPr>
      <xdr:blipFill>
        <a:blip r:embed="rId22"/>
        <a:stretch>
          <a:fillRect/>
        </a:stretch>
      </xdr:blipFill>
      <xdr:spPr>
        <a:xfrm>
          <a:off x="7143750" y="80123030"/>
          <a:ext cx="215900" cy="3467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1" name="ID_F5194F4DAB1A4107856E8BF2CD0F097A"/>
        <xdr:cNvPicPr>
          <a:picLocks noChangeAspect="1"/>
        </xdr:cNvPicPr>
      </xdr:nvPicPr>
      <xdr:blipFill>
        <a:blip r:embed="rId23"/>
        <a:stretch>
          <a:fillRect/>
        </a:stretch>
      </xdr:blipFill>
      <xdr:spPr>
        <a:xfrm>
          <a:off x="7051040" y="79513430"/>
          <a:ext cx="297180" cy="3568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7" name="ID_01BDBF2E8E454F458B78964688A7C8E1"/>
        <xdr:cNvPicPr>
          <a:picLocks noChangeAspect="1"/>
        </xdr:cNvPicPr>
      </xdr:nvPicPr>
      <xdr:blipFill>
        <a:blip r:embed="rId24"/>
        <a:stretch>
          <a:fillRect/>
        </a:stretch>
      </xdr:blipFill>
      <xdr:spPr>
        <a:xfrm rot="5400000">
          <a:off x="7066915" y="114312065"/>
          <a:ext cx="415290" cy="6286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0" name="ID_B6706F8359C5401498A819A6EA8423A7"/>
        <xdr:cNvPicPr>
          <a:picLocks noChangeAspect="1"/>
        </xdr:cNvPicPr>
      </xdr:nvPicPr>
      <xdr:blipFill>
        <a:blip r:embed="rId25"/>
        <a:stretch>
          <a:fillRect/>
        </a:stretch>
      </xdr:blipFill>
      <xdr:spPr>
        <a:xfrm>
          <a:off x="7089140" y="90912315"/>
          <a:ext cx="255905" cy="4546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3" name="ID_57C7AD5163B44113BC8D5F28F6F54189"/>
        <xdr:cNvPicPr>
          <a:picLocks noChangeAspect="1"/>
        </xdr:cNvPicPr>
      </xdr:nvPicPr>
      <xdr:blipFill>
        <a:blip r:embed="rId26"/>
        <a:stretch>
          <a:fillRect/>
        </a:stretch>
      </xdr:blipFill>
      <xdr:spPr>
        <a:xfrm>
          <a:off x="7041515" y="94670880"/>
          <a:ext cx="476250" cy="5441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4" name="ID_801E609BBA494F2E87771C7F3490D91E"/>
        <xdr:cNvPicPr>
          <a:picLocks noChangeAspect="1"/>
        </xdr:cNvPicPr>
      </xdr:nvPicPr>
      <xdr:blipFill>
        <a:blip r:embed="rId27"/>
        <a:stretch>
          <a:fillRect/>
        </a:stretch>
      </xdr:blipFill>
      <xdr:spPr>
        <a:xfrm rot="5400000">
          <a:off x="7024370" y="111775240"/>
          <a:ext cx="461010" cy="6286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5" name="ID_8ECC41ADF88540838E67C922A27582B7"/>
        <xdr:cNvPicPr>
          <a:picLocks noChangeAspect="1"/>
        </xdr:cNvPicPr>
      </xdr:nvPicPr>
      <xdr:blipFill>
        <a:blip r:embed="rId28"/>
        <a:stretch>
          <a:fillRect/>
        </a:stretch>
      </xdr:blipFill>
      <xdr:spPr>
        <a:xfrm>
          <a:off x="6898640" y="111247555"/>
          <a:ext cx="485775" cy="3632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6" name="ID_3B43D7E0168E48D1B6B4B72A75771079"/>
        <xdr:cNvPicPr>
          <a:picLocks noChangeAspect="1"/>
        </xdr:cNvPicPr>
      </xdr:nvPicPr>
      <xdr:blipFill>
        <a:blip r:embed="rId29"/>
        <a:stretch>
          <a:fillRect/>
        </a:stretch>
      </xdr:blipFill>
      <xdr:spPr>
        <a:xfrm rot="5400000">
          <a:off x="6954520" y="110574455"/>
          <a:ext cx="428625" cy="479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0" name="ID_C1CA64F66A9049EE9D4628BA5D6A85F0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 rot="5400000">
          <a:off x="6996430" y="78785720"/>
          <a:ext cx="391160" cy="6146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6" name="ID_62A8DE633B8E4E749E21A39AFF137315"/>
        <xdr:cNvPicPr>
          <a:picLocks noChangeAspect="1"/>
        </xdr:cNvPicPr>
      </xdr:nvPicPr>
      <xdr:blipFill>
        <a:blip r:embed="rId31"/>
        <a:stretch>
          <a:fillRect/>
        </a:stretch>
      </xdr:blipFill>
      <xdr:spPr>
        <a:xfrm rot="5400000">
          <a:off x="7008495" y="78224380"/>
          <a:ext cx="270510" cy="4235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3" name="ID_6561F8D4A0644EEF97F88DDDB2E23567"/>
        <xdr:cNvPicPr>
          <a:picLocks noChangeAspect="1"/>
        </xdr:cNvPicPr>
      </xdr:nvPicPr>
      <xdr:blipFill>
        <a:blip r:embed="rId32"/>
        <a:stretch>
          <a:fillRect/>
        </a:stretch>
      </xdr:blipFill>
      <xdr:spPr>
        <a:xfrm rot="5400000">
          <a:off x="7101205" y="101547930"/>
          <a:ext cx="391160" cy="7467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4B6C53727F624DB98A80A1F072B77F22"/>
        <xdr:cNvPicPr>
          <a:picLocks noChangeAspect="1"/>
        </xdr:cNvPicPr>
      </xdr:nvPicPr>
      <xdr:blipFill>
        <a:blip r:embed="rId33"/>
        <a:stretch>
          <a:fillRect/>
        </a:stretch>
      </xdr:blipFill>
      <xdr:spPr>
        <a:xfrm>
          <a:off x="7051040" y="125787150"/>
          <a:ext cx="485775" cy="4813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0" name="ID_CC101E5F82D94A53A446210F2D29C151"/>
        <xdr:cNvPicPr>
          <a:picLocks noChangeAspect="1"/>
        </xdr:cNvPicPr>
      </xdr:nvPicPr>
      <xdr:blipFill>
        <a:blip r:embed="rId34"/>
        <a:stretch>
          <a:fillRect/>
        </a:stretch>
      </xdr:blipFill>
      <xdr:spPr>
        <a:xfrm>
          <a:off x="7089140" y="56650890"/>
          <a:ext cx="304800" cy="4260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1" name="ID_7F7B6ED833774016AD60B0EAA4D9F25A"/>
        <xdr:cNvPicPr>
          <a:picLocks noChangeAspect="1"/>
        </xdr:cNvPicPr>
      </xdr:nvPicPr>
      <xdr:blipFill>
        <a:blip r:embed="rId35"/>
        <a:stretch>
          <a:fillRect/>
        </a:stretch>
      </xdr:blipFill>
      <xdr:spPr>
        <a:xfrm>
          <a:off x="7136765" y="57301130"/>
          <a:ext cx="305435" cy="3949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5" name="ID_5A2574A3E6F44630A75E79C7DDD00678"/>
        <xdr:cNvPicPr>
          <a:picLocks noChangeAspect="1"/>
        </xdr:cNvPicPr>
      </xdr:nvPicPr>
      <xdr:blipFill>
        <a:blip r:embed="rId36"/>
        <a:stretch>
          <a:fillRect/>
        </a:stretch>
      </xdr:blipFill>
      <xdr:spPr>
        <a:xfrm rot="5400000">
          <a:off x="7101840" y="77473175"/>
          <a:ext cx="304800" cy="7207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9" name="ID_A112542884A8426C9BE677AB42EF365A"/>
        <xdr:cNvPicPr>
          <a:picLocks noChangeAspect="1"/>
        </xdr:cNvPicPr>
      </xdr:nvPicPr>
      <xdr:blipFill>
        <a:blip r:embed="rId37"/>
        <a:stretch>
          <a:fillRect/>
        </a:stretch>
      </xdr:blipFill>
      <xdr:spPr>
        <a:xfrm>
          <a:off x="7070090" y="127147955"/>
          <a:ext cx="332740" cy="3981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3" name="ID_C6329B8C63054AD3B03451DE282C02DB"/>
        <xdr:cNvPicPr>
          <a:picLocks noChangeAspect="1"/>
        </xdr:cNvPicPr>
      </xdr:nvPicPr>
      <xdr:blipFill>
        <a:blip r:embed="rId38"/>
        <a:stretch>
          <a:fillRect/>
        </a:stretch>
      </xdr:blipFill>
      <xdr:spPr>
        <a:xfrm>
          <a:off x="7041515" y="127676275"/>
          <a:ext cx="476885" cy="5429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1" name="ID_C0E78F4E5287497FA3D500A727D39614"/>
        <xdr:cNvPicPr>
          <a:picLocks noChangeAspect="1"/>
        </xdr:cNvPicPr>
      </xdr:nvPicPr>
      <xdr:blipFill>
        <a:blip r:embed="rId39"/>
        <a:stretch>
          <a:fillRect/>
        </a:stretch>
      </xdr:blipFill>
      <xdr:spPr>
        <a:xfrm>
          <a:off x="7146290" y="105467785"/>
          <a:ext cx="352425" cy="5327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1" name="ID_1F2E1DD0FBB44098AA9B3F00E53AE4F6"/>
        <xdr:cNvPicPr>
          <a:picLocks noChangeAspect="1"/>
        </xdr:cNvPicPr>
      </xdr:nvPicPr>
      <xdr:blipFill>
        <a:blip r:embed="rId40"/>
        <a:stretch>
          <a:fillRect/>
        </a:stretch>
      </xdr:blipFill>
      <xdr:spPr>
        <a:xfrm>
          <a:off x="7041515" y="90309700"/>
          <a:ext cx="514985" cy="4603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3" name="ID_A991C85A9983403185DFC04FB4A8AE76"/>
        <xdr:cNvPicPr>
          <a:picLocks noChangeAspect="1" noChangeArrowheads="1"/>
        </xdr:cNvPicPr>
      </xdr:nvPicPr>
      <xdr:blipFill>
        <a:blip r:embed="rId41"/>
        <a:srcRect/>
        <a:stretch>
          <a:fillRect/>
        </a:stretch>
      </xdr:blipFill>
      <xdr:spPr>
        <a:xfrm>
          <a:off x="7108190" y="76368275"/>
          <a:ext cx="391160" cy="250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74" name="ID_36A6E454EE8E4D339B249C1FADE511D4"/>
        <xdr:cNvPicPr>
          <a:picLocks noChangeAspect="1" noChangeArrowheads="1"/>
        </xdr:cNvPicPr>
      </xdr:nvPicPr>
      <xdr:blipFill>
        <a:blip r:embed="rId42"/>
        <a:srcRect/>
        <a:stretch>
          <a:fillRect/>
        </a:stretch>
      </xdr:blipFill>
      <xdr:spPr>
        <a:xfrm rot="5400000">
          <a:off x="7099935" y="76842620"/>
          <a:ext cx="302260" cy="5391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72" name="ID_711EBB5E2E744DF3B23EE6690F11B6B6"/>
        <xdr:cNvPicPr>
          <a:picLocks noChangeAspect="1"/>
        </xdr:cNvPicPr>
      </xdr:nvPicPr>
      <xdr:blipFill>
        <a:blip r:embed="rId43"/>
        <a:stretch>
          <a:fillRect/>
        </a:stretch>
      </xdr:blipFill>
      <xdr:spPr>
        <a:xfrm>
          <a:off x="7060565" y="75698350"/>
          <a:ext cx="278130" cy="3371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1" name="ID_16742BD4E08548EF8FE2EC8BB7986763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7108190" y="75053825"/>
          <a:ext cx="247015" cy="3352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3" name="ID_337DEFF493174AB1A7A6AFBD2CC619FB"/>
        <xdr:cNvPicPr>
          <a:picLocks noChangeAspect="1"/>
        </xdr:cNvPicPr>
      </xdr:nvPicPr>
      <xdr:blipFill>
        <a:blip r:embed="rId44"/>
        <a:stretch>
          <a:fillRect/>
        </a:stretch>
      </xdr:blipFill>
      <xdr:spPr>
        <a:xfrm>
          <a:off x="7127240" y="74427715"/>
          <a:ext cx="252095" cy="2711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2" name="ID_88E6029238A442689572EE44C6FFADC6"/>
        <xdr:cNvPicPr>
          <a:picLocks noChangeAspect="1"/>
        </xdr:cNvPicPr>
      </xdr:nvPicPr>
      <xdr:blipFill>
        <a:blip r:embed="rId45"/>
        <a:stretch>
          <a:fillRect/>
        </a:stretch>
      </xdr:blipFill>
      <xdr:spPr>
        <a:xfrm>
          <a:off x="7136765" y="73933050"/>
          <a:ext cx="304165" cy="3003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0" name="ID_F1D2998E042D43428119294577366BF7"/>
        <xdr:cNvPicPr>
          <a:picLocks noChangeAspect="1"/>
        </xdr:cNvPicPr>
      </xdr:nvPicPr>
      <xdr:blipFill>
        <a:blip r:embed="rId46"/>
        <a:stretch>
          <a:fillRect/>
        </a:stretch>
      </xdr:blipFill>
      <xdr:spPr>
        <a:xfrm rot="5400000">
          <a:off x="7113905" y="89621360"/>
          <a:ext cx="295910" cy="5480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9" name="ID_DDD2F177C70343238D0808AAF2EA5B80"/>
        <xdr:cNvPicPr>
          <a:picLocks noChangeAspect="1"/>
        </xdr:cNvPicPr>
      </xdr:nvPicPr>
      <xdr:blipFill>
        <a:blip r:embed="rId47"/>
        <a:stretch>
          <a:fillRect/>
        </a:stretch>
      </xdr:blipFill>
      <xdr:spPr>
        <a:xfrm>
          <a:off x="7051040" y="88994615"/>
          <a:ext cx="380365" cy="410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1" name="ID_7982E3E997E84683BD3C3E502D6A4E43"/>
        <xdr:cNvPicPr>
          <a:picLocks noChangeAspect="1"/>
        </xdr:cNvPicPr>
      </xdr:nvPicPr>
      <xdr:blipFill>
        <a:blip r:embed="rId48"/>
        <a:stretch>
          <a:fillRect/>
        </a:stretch>
      </xdr:blipFill>
      <xdr:spPr>
        <a:xfrm>
          <a:off x="7165340" y="73240265"/>
          <a:ext cx="200025" cy="3263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9" name="ID_6B2F8B864E4B4224AF3426764454EE6F"/>
        <xdr:cNvPicPr>
          <a:picLocks noChangeAspect="1"/>
        </xdr:cNvPicPr>
      </xdr:nvPicPr>
      <xdr:blipFill>
        <a:blip r:embed="rId49"/>
        <a:stretch>
          <a:fillRect/>
        </a:stretch>
      </xdr:blipFill>
      <xdr:spPr>
        <a:xfrm>
          <a:off x="7117715" y="97880805"/>
          <a:ext cx="381635" cy="4902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2" name="ID_7B3F4DEB898A49B387821C031C5D481D"/>
        <xdr:cNvPicPr>
          <a:picLocks noChangeAspect="1"/>
        </xdr:cNvPicPr>
      </xdr:nvPicPr>
      <xdr:blipFill>
        <a:blip r:embed="rId50"/>
        <a:stretch>
          <a:fillRect/>
        </a:stretch>
      </xdr:blipFill>
      <xdr:spPr>
        <a:xfrm>
          <a:off x="7041515" y="52213510"/>
          <a:ext cx="374015" cy="3549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9" name="ID_D1B432DB7BF449E5B73030CCD1810D49"/>
        <xdr:cNvPicPr>
          <a:picLocks noChangeAspect="1" noChangeArrowheads="1"/>
        </xdr:cNvPicPr>
      </xdr:nvPicPr>
      <xdr:blipFill>
        <a:blip r:embed="rId51"/>
        <a:srcRect/>
        <a:stretch>
          <a:fillRect/>
        </a:stretch>
      </xdr:blipFill>
      <xdr:spPr>
        <a:xfrm rot="5400000">
          <a:off x="7133590" y="61657865"/>
          <a:ext cx="254635" cy="466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4" name="ID_53E9240618D64863A9F35D530544BE70"/>
        <xdr:cNvPicPr>
          <a:picLocks noChangeAspect="1"/>
        </xdr:cNvPicPr>
      </xdr:nvPicPr>
      <xdr:blipFill>
        <a:blip r:embed="rId52"/>
        <a:stretch>
          <a:fillRect/>
        </a:stretch>
      </xdr:blipFill>
      <xdr:spPr>
        <a:xfrm>
          <a:off x="6996430" y="27838400"/>
          <a:ext cx="591820" cy="607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7" name="ID_70806C786F464C198A7D795FC30DCE53"/>
        <xdr:cNvPicPr>
          <a:picLocks noChangeAspect="1"/>
        </xdr:cNvPicPr>
      </xdr:nvPicPr>
      <xdr:blipFill>
        <a:blip r:embed="rId53"/>
        <a:stretch>
          <a:fillRect/>
        </a:stretch>
      </xdr:blipFill>
      <xdr:spPr>
        <a:xfrm>
          <a:off x="7165340" y="26841450"/>
          <a:ext cx="238125" cy="2978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0" name="ID_341E1E5C01554AFA8E94040C046184E0"/>
        <xdr:cNvPicPr>
          <a:picLocks noChangeAspect="1"/>
        </xdr:cNvPicPr>
      </xdr:nvPicPr>
      <xdr:blipFill>
        <a:blip r:embed="rId54"/>
        <a:stretch>
          <a:fillRect/>
        </a:stretch>
      </xdr:blipFill>
      <xdr:spPr>
        <a:xfrm>
          <a:off x="7041515" y="70023990"/>
          <a:ext cx="345440" cy="2482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" name="ID_65830D42F07340CCAD81F0278A1DC67F"/>
        <xdr:cNvPicPr>
          <a:picLocks noChangeAspect="1"/>
        </xdr:cNvPicPr>
      </xdr:nvPicPr>
      <xdr:blipFill>
        <a:blip r:embed="rId55"/>
        <a:stretch>
          <a:fillRect/>
        </a:stretch>
      </xdr:blipFill>
      <xdr:spPr>
        <a:xfrm>
          <a:off x="7031990" y="108700570"/>
          <a:ext cx="523875" cy="4514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9" name="ID_CFD8E9F2EA7047DBA9358D394E9C4393"/>
        <xdr:cNvPicPr>
          <a:picLocks noChangeAspect="1"/>
        </xdr:cNvPicPr>
      </xdr:nvPicPr>
      <xdr:blipFill>
        <a:blip r:embed="rId56"/>
        <a:stretch>
          <a:fillRect/>
        </a:stretch>
      </xdr:blipFill>
      <xdr:spPr>
        <a:xfrm>
          <a:off x="7091680" y="31032450"/>
          <a:ext cx="357505" cy="479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5" name="ID_D5E5B791107A41F29D47E96738B027C4"/>
        <xdr:cNvPicPr>
          <a:picLocks noChangeAspect="1"/>
        </xdr:cNvPicPr>
      </xdr:nvPicPr>
      <xdr:blipFill>
        <a:blip r:embed="rId57"/>
        <a:stretch>
          <a:fillRect/>
        </a:stretch>
      </xdr:blipFill>
      <xdr:spPr>
        <a:xfrm rot="5400000">
          <a:off x="7102475" y="85166200"/>
          <a:ext cx="247650" cy="5848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9" name="ID_FA8C0FC153A64D088B446EEB37BF2ECC"/>
        <xdr:cNvPicPr>
          <a:picLocks noChangeAspect="1"/>
        </xdr:cNvPicPr>
      </xdr:nvPicPr>
      <xdr:blipFill>
        <a:blip r:embed="rId58"/>
        <a:stretch>
          <a:fillRect/>
        </a:stretch>
      </xdr:blipFill>
      <xdr:spPr>
        <a:xfrm>
          <a:off x="7051040" y="85780245"/>
          <a:ext cx="362585" cy="4845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4" name="ID_C3AAA03BDA0F4E05B880FD50E1BDF173"/>
        <xdr:cNvPicPr>
          <a:picLocks noChangeAspect="1"/>
        </xdr:cNvPicPr>
      </xdr:nvPicPr>
      <xdr:blipFill>
        <a:blip r:embed="rId59"/>
        <a:stretch>
          <a:fillRect/>
        </a:stretch>
      </xdr:blipFill>
      <xdr:spPr>
        <a:xfrm>
          <a:off x="7184390" y="86506685"/>
          <a:ext cx="333375" cy="3644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9" name="ID_A89A86BB19DC4839807C2B01115C1738"/>
        <xdr:cNvPicPr>
          <a:picLocks noChangeAspect="1"/>
        </xdr:cNvPicPr>
      </xdr:nvPicPr>
      <xdr:blipFill>
        <a:blip r:embed="rId60"/>
        <a:stretch>
          <a:fillRect/>
        </a:stretch>
      </xdr:blipFill>
      <xdr:spPr>
        <a:xfrm>
          <a:off x="7012940" y="91572080"/>
          <a:ext cx="448310" cy="4013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7" name="ID_6EF08B430C1244E6B24C1E2995297238"/>
        <xdr:cNvPicPr>
          <a:picLocks noChangeAspect="1"/>
        </xdr:cNvPicPr>
      </xdr:nvPicPr>
      <xdr:blipFill>
        <a:blip r:embed="rId61"/>
        <a:stretch>
          <a:fillRect/>
        </a:stretch>
      </xdr:blipFill>
      <xdr:spPr>
        <a:xfrm rot="5400000" flipH="1">
          <a:off x="7102475" y="69272150"/>
          <a:ext cx="247650" cy="5340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6" name="ID_3B5DDC12163F4DE8BEE7A344011BCD7B"/>
        <xdr:cNvPicPr>
          <a:picLocks noChangeAspect="1"/>
        </xdr:cNvPicPr>
      </xdr:nvPicPr>
      <xdr:blipFill>
        <a:blip r:embed="rId62"/>
        <a:stretch>
          <a:fillRect/>
        </a:stretch>
      </xdr:blipFill>
      <xdr:spPr>
        <a:xfrm>
          <a:off x="6984365" y="68700015"/>
          <a:ext cx="424815" cy="2520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0" name="ID_061FD2B607FF4670B9160B7EB7AE113E"/>
        <xdr:cNvPicPr>
          <a:picLocks noChangeAspect="1"/>
        </xdr:cNvPicPr>
      </xdr:nvPicPr>
      <xdr:blipFill>
        <a:blip r:embed="rId63"/>
        <a:stretch>
          <a:fillRect/>
        </a:stretch>
      </xdr:blipFill>
      <xdr:spPr>
        <a:xfrm>
          <a:off x="7070090" y="68071365"/>
          <a:ext cx="438150" cy="4292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7" name="ID_284D595C5DBC40C893F3BFF52718E7C5"/>
        <xdr:cNvPicPr>
          <a:picLocks noChangeAspect="1"/>
        </xdr:cNvPicPr>
      </xdr:nvPicPr>
      <xdr:blipFill>
        <a:blip r:embed="rId64"/>
        <a:stretch>
          <a:fillRect/>
        </a:stretch>
      </xdr:blipFill>
      <xdr:spPr>
        <a:xfrm>
          <a:off x="7165340" y="83404075"/>
          <a:ext cx="229235" cy="3460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" name="ID_A8D72984197347A1AF42D32B0AB326F9"/>
        <xdr:cNvPicPr>
          <a:picLocks noChangeAspect="1"/>
        </xdr:cNvPicPr>
      </xdr:nvPicPr>
      <xdr:blipFill>
        <a:blip r:embed="rId65"/>
        <a:stretch>
          <a:fillRect/>
        </a:stretch>
      </xdr:blipFill>
      <xdr:spPr>
        <a:xfrm>
          <a:off x="7041515" y="108032550"/>
          <a:ext cx="457200" cy="4298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" name="ID_19608776E87643E78648AE022D747175"/>
        <xdr:cNvPicPr>
          <a:picLocks noChangeAspect="1"/>
        </xdr:cNvPicPr>
      </xdr:nvPicPr>
      <xdr:blipFill>
        <a:blip r:embed="rId66"/>
        <a:stretch>
          <a:fillRect/>
        </a:stretch>
      </xdr:blipFill>
      <xdr:spPr>
        <a:xfrm>
          <a:off x="7003415" y="109302550"/>
          <a:ext cx="361315" cy="5181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9" name="ID_6D570F0908124201B3419A08ED5BF591"/>
        <xdr:cNvPicPr>
          <a:picLocks noChangeAspect="1"/>
        </xdr:cNvPicPr>
      </xdr:nvPicPr>
      <xdr:blipFill>
        <a:blip r:embed="rId67"/>
        <a:stretch>
          <a:fillRect/>
        </a:stretch>
      </xdr:blipFill>
      <xdr:spPr>
        <a:xfrm>
          <a:off x="7031990" y="7829550"/>
          <a:ext cx="397510" cy="3111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6" name="ID_EC975C699E974DDEB247C5E4D80F68DF"/>
        <xdr:cNvPicPr>
          <a:picLocks noChangeAspect="1"/>
        </xdr:cNvPicPr>
      </xdr:nvPicPr>
      <xdr:blipFill>
        <a:blip r:embed="rId68"/>
        <a:stretch>
          <a:fillRect/>
        </a:stretch>
      </xdr:blipFill>
      <xdr:spPr>
        <a:xfrm>
          <a:off x="7041515" y="67402075"/>
          <a:ext cx="262890" cy="3441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5" name="ID_C18F3D89C7DD460B9923C973221A46FD"/>
        <xdr:cNvPicPr>
          <a:picLocks noChangeAspect="1"/>
        </xdr:cNvPicPr>
      </xdr:nvPicPr>
      <xdr:blipFill>
        <a:blip r:embed="rId69"/>
        <a:stretch>
          <a:fillRect/>
        </a:stretch>
      </xdr:blipFill>
      <xdr:spPr>
        <a:xfrm rot="5400000">
          <a:off x="7123430" y="34336990"/>
          <a:ext cx="339725" cy="5207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8" name="ID_70986DE83F04411EAA657E5A2FB28BC2"/>
        <xdr:cNvPicPr>
          <a:picLocks noChangeAspect="1"/>
        </xdr:cNvPicPr>
      </xdr:nvPicPr>
      <xdr:blipFill>
        <a:blip r:embed="rId70"/>
        <a:stretch>
          <a:fillRect/>
        </a:stretch>
      </xdr:blipFill>
      <xdr:spPr>
        <a:xfrm rot="5400000">
          <a:off x="7035165" y="107319445"/>
          <a:ext cx="476885" cy="6375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4" name="ID_76761A744BCB4FD5967C5040039ED659"/>
        <xdr:cNvPicPr>
          <a:picLocks noChangeAspect="1"/>
        </xdr:cNvPicPr>
      </xdr:nvPicPr>
      <xdr:blipFill>
        <a:blip r:embed="rId71"/>
        <a:stretch>
          <a:fillRect/>
        </a:stretch>
      </xdr:blipFill>
      <xdr:spPr>
        <a:xfrm>
          <a:off x="7089140" y="96687005"/>
          <a:ext cx="447675" cy="4267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8" name="ID_FEEDFBD97B25412AB162158EF27A16D6"/>
        <xdr:cNvPicPr>
          <a:picLocks noChangeAspect="1"/>
        </xdr:cNvPicPr>
      </xdr:nvPicPr>
      <xdr:blipFill>
        <a:blip r:embed="rId72"/>
        <a:stretch>
          <a:fillRect/>
        </a:stretch>
      </xdr:blipFill>
      <xdr:spPr>
        <a:xfrm>
          <a:off x="7070090" y="82705575"/>
          <a:ext cx="334010" cy="3822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5" name="ID_03282BCA34B64DD7A8862693978DC46C"/>
        <xdr:cNvPicPr>
          <a:picLocks noChangeAspect="1"/>
        </xdr:cNvPicPr>
      </xdr:nvPicPr>
      <xdr:blipFill>
        <a:blip r:embed="rId73"/>
        <a:stretch>
          <a:fillRect/>
        </a:stretch>
      </xdr:blipFill>
      <xdr:spPr>
        <a:xfrm>
          <a:off x="7146290" y="66807080"/>
          <a:ext cx="285750" cy="4076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4" name="ID_B8818E206ED249A7866F618BD17EDAE9"/>
        <xdr:cNvPicPr>
          <a:picLocks noChangeAspect="1"/>
        </xdr:cNvPicPr>
      </xdr:nvPicPr>
      <xdr:blipFill>
        <a:blip r:embed="rId74"/>
        <a:stretch>
          <a:fillRect/>
        </a:stretch>
      </xdr:blipFill>
      <xdr:spPr>
        <a:xfrm>
          <a:off x="6858000" y="126532005"/>
          <a:ext cx="845820" cy="4140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4" name="ID_1C94F30231244E1FBB6C3B2504564BC9"/>
        <xdr:cNvPicPr>
          <a:picLocks noChangeAspect="1" noChangeArrowheads="1"/>
        </xdr:cNvPicPr>
      </xdr:nvPicPr>
      <xdr:blipFill>
        <a:blip r:embed="rId75"/>
        <a:srcRect/>
        <a:stretch>
          <a:fillRect/>
        </a:stretch>
      </xdr:blipFill>
      <xdr:spPr>
        <a:xfrm>
          <a:off x="7031990" y="66229865"/>
          <a:ext cx="300355" cy="340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47" name="ID_0F2E181751384CD6A50C9958C0B1F00A"/>
        <xdr:cNvPicPr>
          <a:picLocks noChangeAspect="1"/>
        </xdr:cNvPicPr>
      </xdr:nvPicPr>
      <xdr:blipFill>
        <a:blip r:embed="rId76"/>
        <a:stretch>
          <a:fillRect/>
        </a:stretch>
      </xdr:blipFill>
      <xdr:spPr>
        <a:xfrm>
          <a:off x="6936740" y="110092490"/>
          <a:ext cx="608965" cy="353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3" name="ID_E2251DB73BE94AEA81E602017FC1335E"/>
        <xdr:cNvPicPr>
          <a:picLocks noChangeAspect="1" noChangeArrowheads="1"/>
        </xdr:cNvPicPr>
      </xdr:nvPicPr>
      <xdr:blipFill>
        <a:blip r:embed="rId77"/>
        <a:srcRect/>
        <a:stretch>
          <a:fillRect/>
        </a:stretch>
      </xdr:blipFill>
      <xdr:spPr>
        <a:xfrm rot="5400000">
          <a:off x="7091045" y="64856995"/>
          <a:ext cx="290830" cy="4521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8" name="ID_6665C569EF18419EABE686C835D671B1"/>
        <xdr:cNvPicPr>
          <a:picLocks noChangeAspect="1" noChangeArrowheads="1"/>
        </xdr:cNvPicPr>
      </xdr:nvPicPr>
      <xdr:blipFill>
        <a:blip r:embed="rId78"/>
        <a:srcRect/>
        <a:stretch>
          <a:fillRect/>
        </a:stretch>
      </xdr:blipFill>
      <xdr:spPr>
        <a:xfrm rot="5400000">
          <a:off x="7113270" y="63540005"/>
          <a:ext cx="296545" cy="4940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82" name="ID_130E30D4A0624E96843BCC90269A4CE5"/>
        <xdr:cNvPicPr>
          <a:picLocks noChangeAspect="1"/>
        </xdr:cNvPicPr>
      </xdr:nvPicPr>
      <xdr:blipFill>
        <a:blip r:embed="rId79"/>
        <a:stretch>
          <a:fillRect/>
        </a:stretch>
      </xdr:blipFill>
      <xdr:spPr>
        <a:xfrm>
          <a:off x="6965315" y="63112015"/>
          <a:ext cx="412750" cy="3054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5" name="ID_928256149C554296A6194553BEB76601"/>
        <xdr:cNvPicPr>
          <a:picLocks noChangeAspect="1"/>
        </xdr:cNvPicPr>
      </xdr:nvPicPr>
      <xdr:blipFill>
        <a:blip r:embed="rId80"/>
        <a:stretch>
          <a:fillRect/>
        </a:stretch>
      </xdr:blipFill>
      <xdr:spPr>
        <a:xfrm>
          <a:off x="7146290" y="132810250"/>
          <a:ext cx="278130" cy="4356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3" name="ID_A04D5A20087D49A3A9A4ED8B3B814BE6"/>
        <xdr:cNvPicPr>
          <a:picLocks noChangeAspect="1"/>
        </xdr:cNvPicPr>
      </xdr:nvPicPr>
      <xdr:blipFill>
        <a:blip r:embed="rId81"/>
        <a:stretch>
          <a:fillRect/>
        </a:stretch>
      </xdr:blipFill>
      <xdr:spPr>
        <a:xfrm>
          <a:off x="7041515" y="133426200"/>
          <a:ext cx="524510" cy="5410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3" name="ID_CE265432578743059277D70C6B60932C"/>
        <xdr:cNvPicPr>
          <a:picLocks noChangeAspect="1"/>
        </xdr:cNvPicPr>
      </xdr:nvPicPr>
      <xdr:blipFill>
        <a:blip r:embed="rId82"/>
        <a:stretch>
          <a:fillRect/>
        </a:stretch>
      </xdr:blipFill>
      <xdr:spPr>
        <a:xfrm>
          <a:off x="7051040" y="15304135"/>
          <a:ext cx="391160" cy="3676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4" name="ID_E5BD3169854F4B08B86E2365684BFCEF"/>
        <xdr:cNvPicPr>
          <a:picLocks noChangeAspect="1"/>
        </xdr:cNvPicPr>
      </xdr:nvPicPr>
      <xdr:blipFill>
        <a:blip r:embed="rId83"/>
        <a:stretch>
          <a:fillRect/>
        </a:stretch>
      </xdr:blipFill>
      <xdr:spPr>
        <a:xfrm rot="5400000">
          <a:off x="7094855" y="115453160"/>
          <a:ext cx="454025" cy="8369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1" name="ID_A369772724674F75A57DA2F8FCC5DED9"/>
        <xdr:cNvPicPr>
          <a:picLocks noChangeAspect="1"/>
        </xdr:cNvPicPr>
      </xdr:nvPicPr>
      <xdr:blipFill>
        <a:blip r:embed="rId84"/>
        <a:stretch>
          <a:fillRect/>
        </a:stretch>
      </xdr:blipFill>
      <xdr:spPr>
        <a:xfrm>
          <a:off x="7079615" y="129593975"/>
          <a:ext cx="450850" cy="5695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0" name="ID_900FCC9C702B4DCE9791CD9DCA27E8FB"/>
        <xdr:cNvPicPr>
          <a:picLocks noChangeAspect="1"/>
        </xdr:cNvPicPr>
      </xdr:nvPicPr>
      <xdr:blipFill>
        <a:blip r:embed="rId85"/>
        <a:stretch>
          <a:fillRect/>
        </a:stretch>
      </xdr:blipFill>
      <xdr:spPr>
        <a:xfrm>
          <a:off x="7165340" y="62341760"/>
          <a:ext cx="343535" cy="4432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0" name="ID_690DD98BBF404EE9B87923B1F0BF541B"/>
        <xdr:cNvPicPr>
          <a:picLocks noChangeAspect="1"/>
        </xdr:cNvPicPr>
      </xdr:nvPicPr>
      <xdr:blipFill>
        <a:blip r:embed="rId86"/>
        <a:stretch>
          <a:fillRect/>
        </a:stretch>
      </xdr:blipFill>
      <xdr:spPr>
        <a:xfrm>
          <a:off x="7003415" y="14721840"/>
          <a:ext cx="466725" cy="3816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5" name="ID_54973716A41244649DB523E782D029D9"/>
        <xdr:cNvPicPr>
          <a:picLocks noChangeAspect="1"/>
        </xdr:cNvPicPr>
      </xdr:nvPicPr>
      <xdr:blipFill>
        <a:blip r:embed="rId87"/>
        <a:stretch>
          <a:fillRect/>
        </a:stretch>
      </xdr:blipFill>
      <xdr:spPr>
        <a:xfrm>
          <a:off x="7070090" y="14098270"/>
          <a:ext cx="456565" cy="4305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7" name="ID_8F3E405E8A824240A474AF77274124B0"/>
        <xdr:cNvPicPr>
          <a:picLocks noChangeAspect="1"/>
        </xdr:cNvPicPr>
      </xdr:nvPicPr>
      <xdr:blipFill>
        <a:blip r:embed="rId88"/>
        <a:stretch>
          <a:fillRect/>
        </a:stretch>
      </xdr:blipFill>
      <xdr:spPr>
        <a:xfrm>
          <a:off x="7127240" y="12861925"/>
          <a:ext cx="398780" cy="3175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8" name="ID_3AFC220E5EC1495AA987E1E1A90C76C2"/>
        <xdr:cNvPicPr>
          <a:picLocks noChangeAspect="1"/>
        </xdr:cNvPicPr>
      </xdr:nvPicPr>
      <xdr:blipFill>
        <a:blip r:embed="rId89"/>
        <a:stretch>
          <a:fillRect/>
        </a:stretch>
      </xdr:blipFill>
      <xdr:spPr>
        <a:xfrm>
          <a:off x="6927215" y="61120655"/>
          <a:ext cx="486410" cy="2482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0" name="ID_147CF2F49B3C40028A2D45ADBDCA4A29"/>
        <xdr:cNvPicPr>
          <a:picLocks noChangeAspect="1"/>
        </xdr:cNvPicPr>
      </xdr:nvPicPr>
      <xdr:blipFill>
        <a:blip r:embed="rId90"/>
        <a:stretch>
          <a:fillRect/>
        </a:stretch>
      </xdr:blipFill>
      <xdr:spPr>
        <a:xfrm>
          <a:off x="7060565" y="81984850"/>
          <a:ext cx="323850" cy="4857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5" name="ID_1A4FB94821F541C0BD9F6BE1DC5A0D6F"/>
        <xdr:cNvPicPr>
          <a:picLocks noChangeAspect="1"/>
        </xdr:cNvPicPr>
      </xdr:nvPicPr>
      <xdr:blipFill>
        <a:blip r:embed="rId91"/>
        <a:stretch>
          <a:fillRect/>
        </a:stretch>
      </xdr:blipFill>
      <xdr:spPr>
        <a:xfrm>
          <a:off x="7041515" y="100396675"/>
          <a:ext cx="497205" cy="4953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3" name="ID_9A69E9A75DEF43669FEA64744AD37AFF"/>
        <xdr:cNvPicPr>
          <a:picLocks noChangeAspect="1"/>
        </xdr:cNvPicPr>
      </xdr:nvPicPr>
      <xdr:blipFill>
        <a:blip r:embed="rId92"/>
        <a:stretch>
          <a:fillRect/>
        </a:stretch>
      </xdr:blipFill>
      <xdr:spPr>
        <a:xfrm rot="5400000">
          <a:off x="7108190" y="113116360"/>
          <a:ext cx="346710" cy="4946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7" name="ID_D06E7A878D3B422697795FEF45CA8D5F"/>
        <xdr:cNvPicPr>
          <a:picLocks noChangeAspect="1"/>
        </xdr:cNvPicPr>
      </xdr:nvPicPr>
      <xdr:blipFill>
        <a:blip r:embed="rId93"/>
        <a:stretch>
          <a:fillRect/>
        </a:stretch>
      </xdr:blipFill>
      <xdr:spPr>
        <a:xfrm>
          <a:off x="7041515" y="60437395"/>
          <a:ext cx="338455" cy="234950"/>
        </a:xfrm>
        <a:prstGeom prst="rect">
          <a:avLst/>
        </a:prstGeom>
      </xdr:spPr>
    </xdr:pic>
  </etc:cellImage>
  <etc:cellImage>
    <xdr:pic>
      <xdr:nvPicPr>
        <xdr:cNvPr id="220" name="ID_18B1BE93571740BE80A7395558D5D60F"/>
        <xdr:cNvPicPr>
          <a:picLocks noChangeAspect="1"/>
        </xdr:cNvPicPr>
      </xdr:nvPicPr>
      <xdr:blipFill>
        <a:blip r:embed="rId94"/>
        <a:stretch>
          <a:fillRect/>
        </a:stretch>
      </xdr:blipFill>
      <xdr:spPr>
        <a:xfrm>
          <a:off x="7063105" y="60896500"/>
          <a:ext cx="373380" cy="4140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6" name="ID_10814463C3E34530971FC5A742070627"/>
        <xdr:cNvPicPr>
          <a:picLocks noChangeAspect="1"/>
        </xdr:cNvPicPr>
      </xdr:nvPicPr>
      <xdr:blipFill>
        <a:blip r:embed="rId95"/>
        <a:stretch>
          <a:fillRect/>
        </a:stretch>
      </xdr:blipFill>
      <xdr:spPr>
        <a:xfrm>
          <a:off x="7079615" y="99787075"/>
          <a:ext cx="355600" cy="4730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5" name="ID_C6BA994255B34496B8997AFD6289D589"/>
        <xdr:cNvPicPr>
          <a:picLocks noChangeAspect="1"/>
        </xdr:cNvPicPr>
      </xdr:nvPicPr>
      <xdr:blipFill>
        <a:blip r:embed="rId96"/>
        <a:stretch>
          <a:fillRect/>
        </a:stretch>
      </xdr:blipFill>
      <xdr:spPr>
        <a:xfrm>
          <a:off x="7031990" y="59873515"/>
          <a:ext cx="504190" cy="3435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4" name="ID_782748A606C04436B35DBD2262CBAE60"/>
        <xdr:cNvPicPr>
          <a:picLocks noChangeAspect="1"/>
        </xdr:cNvPicPr>
      </xdr:nvPicPr>
      <xdr:blipFill>
        <a:blip r:embed="rId97"/>
        <a:stretch>
          <a:fillRect/>
        </a:stretch>
      </xdr:blipFill>
      <xdr:spPr>
        <a:xfrm rot="5400000">
          <a:off x="7097395" y="58503185"/>
          <a:ext cx="289560" cy="4679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3" name="ID_09D57304AAC740EA8829A65F6788D50C"/>
        <xdr:cNvPicPr>
          <a:picLocks noChangeAspect="1" noChangeArrowheads="1"/>
        </xdr:cNvPicPr>
      </xdr:nvPicPr>
      <xdr:blipFill>
        <a:blip r:embed="rId13"/>
        <a:srcRect/>
        <a:stretch>
          <a:fillRect/>
        </a:stretch>
      </xdr:blipFill>
      <xdr:spPr>
        <a:xfrm rot="5400000">
          <a:off x="7127875" y="47689135"/>
          <a:ext cx="236220" cy="5689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9" name="ID_884616DCAFCA4DB394B2590B9AFD9C83"/>
        <xdr:cNvPicPr>
          <a:picLocks noChangeAspect="1"/>
        </xdr:cNvPicPr>
      </xdr:nvPicPr>
      <xdr:blipFill>
        <a:blip r:embed="rId98"/>
        <a:stretch>
          <a:fillRect/>
        </a:stretch>
      </xdr:blipFill>
      <xdr:spPr>
        <a:xfrm rot="5400000" flipV="1">
          <a:off x="7136765" y="119402860"/>
          <a:ext cx="304800" cy="5676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6" name="ID_9E098CD27D2F4B9EBAFEA163382369CE"/>
        <xdr:cNvPicPr>
          <a:picLocks noChangeAspect="1"/>
        </xdr:cNvPicPr>
      </xdr:nvPicPr>
      <xdr:blipFill>
        <a:blip r:embed="rId99"/>
        <a:stretch>
          <a:fillRect/>
        </a:stretch>
      </xdr:blipFill>
      <xdr:spPr>
        <a:xfrm rot="5400000">
          <a:off x="7059295" y="123118880"/>
          <a:ext cx="506095" cy="7943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8" name="ID_4B1805D63BA64B8B84983B59385ABF66"/>
        <xdr:cNvPicPr>
          <a:picLocks noChangeAspect="1"/>
        </xdr:cNvPicPr>
      </xdr:nvPicPr>
      <xdr:blipFill>
        <a:blip r:embed="rId100"/>
        <a:stretch>
          <a:fillRect/>
        </a:stretch>
      </xdr:blipFill>
      <xdr:spPr>
        <a:xfrm>
          <a:off x="7155815" y="52804695"/>
          <a:ext cx="257175" cy="3860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0" name="ID_E8A39F08746246E9A093E0A427DFCA90"/>
        <xdr:cNvPicPr>
          <a:picLocks noChangeAspect="1"/>
        </xdr:cNvPicPr>
      </xdr:nvPicPr>
      <xdr:blipFill>
        <a:blip r:embed="rId101"/>
        <a:stretch>
          <a:fillRect/>
        </a:stretch>
      </xdr:blipFill>
      <xdr:spPr>
        <a:xfrm rot="5400000">
          <a:off x="7081520" y="106154220"/>
          <a:ext cx="433070" cy="5797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1" name="ID_5267EF18F6774697BFB540299E42AEB3"/>
        <xdr:cNvPicPr>
          <a:picLocks noChangeAspect="1"/>
        </xdr:cNvPicPr>
      </xdr:nvPicPr>
      <xdr:blipFill>
        <a:blip r:embed="rId102"/>
        <a:stretch>
          <a:fillRect/>
        </a:stretch>
      </xdr:blipFill>
      <xdr:spPr>
        <a:xfrm>
          <a:off x="7127240" y="124526675"/>
          <a:ext cx="300990" cy="5461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7" name="ID_28D2D4FF224B401CAACF6EC1AF4C117A"/>
        <xdr:cNvPicPr>
          <a:picLocks noChangeAspect="1"/>
        </xdr:cNvPicPr>
      </xdr:nvPicPr>
      <xdr:blipFill>
        <a:blip r:embed="rId103"/>
        <a:stretch>
          <a:fillRect/>
        </a:stretch>
      </xdr:blipFill>
      <xdr:spPr>
        <a:xfrm rot="10800000" flipV="1">
          <a:off x="7155815" y="51589305"/>
          <a:ext cx="219075" cy="4140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4" name="ID_344E3A3B709B470E893957259DEA2839"/>
        <xdr:cNvPicPr>
          <a:picLocks noChangeAspect="1"/>
        </xdr:cNvPicPr>
      </xdr:nvPicPr>
      <xdr:blipFill>
        <a:blip r:embed="rId104"/>
        <a:stretch>
          <a:fillRect/>
        </a:stretch>
      </xdr:blipFill>
      <xdr:spPr>
        <a:xfrm>
          <a:off x="7031990" y="104197150"/>
          <a:ext cx="457200" cy="5676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21" name="ID_2EECFF2F86684AE38DCB02C3A6242293"/>
        <xdr:cNvPicPr>
          <a:picLocks noChangeAspect="1"/>
        </xdr:cNvPicPr>
      </xdr:nvPicPr>
      <xdr:blipFill>
        <a:blip r:embed="rId105"/>
        <a:stretch>
          <a:fillRect/>
        </a:stretch>
      </xdr:blipFill>
      <xdr:spPr>
        <a:xfrm>
          <a:off x="7025005" y="76117450"/>
          <a:ext cx="524510" cy="4514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7" name="ID_4EB5796388A54412B801F6AA30562D6C"/>
        <xdr:cNvPicPr>
          <a:picLocks noChangeAspect="1"/>
        </xdr:cNvPicPr>
      </xdr:nvPicPr>
      <xdr:blipFill>
        <a:blip r:embed="rId106"/>
        <a:stretch>
          <a:fillRect/>
        </a:stretch>
      </xdr:blipFill>
      <xdr:spPr>
        <a:xfrm>
          <a:off x="6955790" y="122022235"/>
          <a:ext cx="571500" cy="4279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35" name="ID_CF10D654189B451CAA3DCAC5B2BCA25C"/>
        <xdr:cNvPicPr>
          <a:picLocks noChangeAspect="1"/>
        </xdr:cNvPicPr>
      </xdr:nvPicPr>
      <xdr:blipFill>
        <a:blip r:embed="rId107"/>
        <a:stretch>
          <a:fillRect/>
        </a:stretch>
      </xdr:blipFill>
      <xdr:spPr>
        <a:xfrm>
          <a:off x="7098665" y="50892075"/>
          <a:ext cx="324485" cy="4229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4" name="ID_B4F441EEBC324ECBA8780904FC9BCF37"/>
        <xdr:cNvPicPr>
          <a:picLocks noChangeAspect="1"/>
        </xdr:cNvPicPr>
      </xdr:nvPicPr>
      <xdr:blipFill>
        <a:blip r:embed="rId108"/>
        <a:stretch>
          <a:fillRect/>
        </a:stretch>
      </xdr:blipFill>
      <xdr:spPr>
        <a:xfrm rot="5400000">
          <a:off x="7037705" y="100938330"/>
          <a:ext cx="429895" cy="7575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9" name="ID_510542B3072743938FB8AF68F70A0248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7091680" y="49755425"/>
          <a:ext cx="323850" cy="4038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22" name="ID_10CACD9198AA43FBA043E36B380E9440"/>
        <xdr:cNvPicPr>
          <a:picLocks noChangeAspect="1"/>
        </xdr:cNvPicPr>
      </xdr:nvPicPr>
      <xdr:blipFill>
        <a:blip r:embed="rId109"/>
        <a:stretch>
          <a:fillRect/>
        </a:stretch>
      </xdr:blipFill>
      <xdr:spPr>
        <a:xfrm>
          <a:off x="7053580" y="91982925"/>
          <a:ext cx="494030" cy="5372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6" name="ID_1D18711B937B4440BFF488842F6A0903"/>
        <xdr:cNvPicPr>
          <a:picLocks noChangeAspect="1"/>
        </xdr:cNvPicPr>
      </xdr:nvPicPr>
      <xdr:blipFill>
        <a:blip r:embed="rId110"/>
        <a:stretch>
          <a:fillRect/>
        </a:stretch>
      </xdr:blipFill>
      <xdr:spPr>
        <a:xfrm>
          <a:off x="7108190" y="93562805"/>
          <a:ext cx="257810" cy="4425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7" name="ID_492F4A00960B4442B407B25948435D58"/>
        <xdr:cNvPicPr>
          <a:picLocks noChangeAspect="1"/>
        </xdr:cNvPicPr>
      </xdr:nvPicPr>
      <xdr:blipFill>
        <a:blip r:embed="rId111"/>
        <a:stretch>
          <a:fillRect/>
        </a:stretch>
      </xdr:blipFill>
      <xdr:spPr>
        <a:xfrm rot="5400000">
          <a:off x="7106285" y="36163885"/>
          <a:ext cx="252730" cy="6267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0" name="ID_0500A77EBB964D68BFB2F8B4867FFF7B"/>
        <xdr:cNvPicPr>
          <a:picLocks noChangeAspect="1"/>
        </xdr:cNvPicPr>
      </xdr:nvPicPr>
      <xdr:blipFill>
        <a:blip r:embed="rId112"/>
        <a:stretch>
          <a:fillRect/>
        </a:stretch>
      </xdr:blipFill>
      <xdr:spPr>
        <a:xfrm>
          <a:off x="7174865" y="97217230"/>
          <a:ext cx="306070" cy="5187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7" name="ID_A2BA684C9C1B4481B111D07E7341F7C2"/>
        <xdr:cNvPicPr>
          <a:picLocks noChangeAspect="1"/>
        </xdr:cNvPicPr>
      </xdr:nvPicPr>
      <xdr:blipFill>
        <a:blip r:embed="rId113"/>
        <a:stretch>
          <a:fillRect/>
        </a:stretch>
      </xdr:blipFill>
      <xdr:spPr>
        <a:xfrm>
          <a:off x="7146290" y="35759390"/>
          <a:ext cx="318135" cy="4133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" name="ID_48CCF7952B5840B09451F6ECAF12713C" descr="1286924b44bc899b616d19811bcd437"/>
        <xdr:cNvPicPr>
          <a:picLocks noChangeAspect="1"/>
        </xdr:cNvPicPr>
      </xdr:nvPicPr>
      <xdr:blipFill>
        <a:blip r:embed="rId114"/>
        <a:stretch>
          <a:fillRect/>
        </a:stretch>
      </xdr:blipFill>
      <xdr:spPr>
        <a:xfrm>
          <a:off x="7108190" y="121300875"/>
          <a:ext cx="261620" cy="570865"/>
        </a:xfrm>
        <a:prstGeom prst="rect">
          <a:avLst/>
        </a:prstGeom>
      </xdr:spPr>
    </xdr:pic>
  </etc:cellImage>
  <etc:cellImage>
    <xdr:pic>
      <xdr:nvPicPr>
        <xdr:cNvPr id="223" name="ID_E32E9DAA784D47ADAD08BAB8196D9A6B"/>
        <xdr:cNvPicPr>
          <a:picLocks noChangeAspect="1"/>
        </xdr:cNvPicPr>
      </xdr:nvPicPr>
      <xdr:blipFill>
        <a:blip r:embed="rId115"/>
        <a:stretch>
          <a:fillRect/>
        </a:stretch>
      </xdr:blipFill>
      <xdr:spPr>
        <a:xfrm>
          <a:off x="6977380" y="98342450"/>
          <a:ext cx="574675" cy="5492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97" name="ID_EDE8C9351D3A42AA887646EF7A885342"/>
        <xdr:cNvPicPr>
          <a:picLocks noChangeAspect="1"/>
        </xdr:cNvPicPr>
      </xdr:nvPicPr>
      <xdr:blipFill>
        <a:blip r:embed="rId116"/>
        <a:stretch>
          <a:fillRect/>
        </a:stretch>
      </xdr:blipFill>
      <xdr:spPr>
        <a:xfrm>
          <a:off x="7051040" y="128327150"/>
          <a:ext cx="448945" cy="5289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7" name="ID_2F2FF9E841754E5F93F2D0B0DC87DD5F"/>
        <xdr:cNvPicPr>
          <a:picLocks noChangeAspect="1"/>
        </xdr:cNvPicPr>
      </xdr:nvPicPr>
      <xdr:blipFill>
        <a:blip r:embed="rId117"/>
        <a:stretch>
          <a:fillRect/>
        </a:stretch>
      </xdr:blipFill>
      <xdr:spPr>
        <a:xfrm flipH="1">
          <a:off x="6979920" y="99159060"/>
          <a:ext cx="480695" cy="3867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6" name="ID_7EF3DFB34F914DE7B9D92770EA38CF76"/>
        <xdr:cNvPicPr>
          <a:picLocks noChangeAspect="1"/>
        </xdr:cNvPicPr>
      </xdr:nvPicPr>
      <xdr:blipFill>
        <a:blip r:embed="rId118"/>
        <a:stretch>
          <a:fillRect/>
        </a:stretch>
      </xdr:blipFill>
      <xdr:spPr>
        <a:xfrm>
          <a:off x="7012940" y="35105340"/>
          <a:ext cx="436245" cy="2273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52" name="ID_D52FB7BB753F44338C5B1AD9727F550A"/>
        <xdr:cNvPicPr>
          <a:picLocks noChangeAspect="1" noChangeArrowheads="1"/>
        </xdr:cNvPicPr>
      </xdr:nvPicPr>
      <xdr:blipFill>
        <a:blip r:embed="rId119"/>
        <a:srcRect/>
        <a:stretch>
          <a:fillRect/>
        </a:stretch>
      </xdr:blipFill>
      <xdr:spPr>
        <a:xfrm rot="5400000">
          <a:off x="7192645" y="64266445"/>
          <a:ext cx="244475" cy="399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25" name="ID_A1827E84E0D74875B8F18D46E85FEF61"/>
        <xdr:cNvPicPr>
          <a:picLocks noChangeAspect="1"/>
        </xdr:cNvPicPr>
      </xdr:nvPicPr>
      <xdr:blipFill>
        <a:blip r:embed="rId120"/>
        <a:stretch>
          <a:fillRect/>
        </a:stretch>
      </xdr:blipFill>
      <xdr:spPr>
        <a:xfrm rot="5400000">
          <a:off x="7094855" y="125172470"/>
          <a:ext cx="381000" cy="6489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3" name="ID_1DD1AF7B0CE14A7B9EDDB4F498136FEE"/>
        <xdr:cNvPicPr>
          <a:picLocks noChangeAspect="1"/>
        </xdr:cNvPicPr>
      </xdr:nvPicPr>
      <xdr:blipFill>
        <a:blip r:embed="rId121"/>
        <a:stretch>
          <a:fillRect/>
        </a:stretch>
      </xdr:blipFill>
      <xdr:spPr>
        <a:xfrm>
          <a:off x="6879590" y="33173670"/>
          <a:ext cx="201295" cy="3638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78" name="ID_77E55BB59E4444369845B927DAD6217A"/>
        <xdr:cNvPicPr>
          <a:picLocks noChangeAspect="1"/>
        </xdr:cNvPicPr>
      </xdr:nvPicPr>
      <xdr:blipFill>
        <a:blip r:embed="rId122"/>
        <a:stretch>
          <a:fillRect/>
        </a:stretch>
      </xdr:blipFill>
      <xdr:spPr>
        <a:xfrm>
          <a:off x="7003415" y="32623125"/>
          <a:ext cx="428625" cy="30289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3" name="ID_434F235759394B31ABBB3AAEC7BE5ED4"/>
        <xdr:cNvPicPr>
          <a:picLocks noChangeAspect="1"/>
        </xdr:cNvPicPr>
      </xdr:nvPicPr>
      <xdr:blipFill>
        <a:blip r:embed="rId123"/>
        <a:stretch>
          <a:fillRect/>
        </a:stretch>
      </xdr:blipFill>
      <xdr:spPr>
        <a:xfrm>
          <a:off x="6898640" y="31898590"/>
          <a:ext cx="668020" cy="2292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2" name="ID_8F0698D9B1074A8EA7213835997AC86B"/>
        <xdr:cNvPicPr>
          <a:picLocks noChangeAspect="1"/>
        </xdr:cNvPicPr>
      </xdr:nvPicPr>
      <xdr:blipFill>
        <a:blip r:embed="rId124"/>
        <a:stretch>
          <a:fillRect/>
        </a:stretch>
      </xdr:blipFill>
      <xdr:spPr>
        <a:xfrm>
          <a:off x="7165340" y="31249620"/>
          <a:ext cx="335280" cy="2432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8" name="ID_DFE0ECEF39684F39965C0E80A2AC1BB4"/>
        <xdr:cNvPicPr>
          <a:picLocks noChangeAspect="1"/>
        </xdr:cNvPicPr>
      </xdr:nvPicPr>
      <xdr:blipFill>
        <a:blip r:embed="rId125"/>
        <a:stretch>
          <a:fillRect/>
        </a:stretch>
      </xdr:blipFill>
      <xdr:spPr>
        <a:xfrm>
          <a:off x="7041515" y="92243275"/>
          <a:ext cx="243205" cy="4254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5" name="ID_7101938C240D478297F5E6ABD06BB0D8"/>
        <xdr:cNvPicPr>
          <a:picLocks noChangeAspect="1"/>
        </xdr:cNvPicPr>
      </xdr:nvPicPr>
      <xdr:blipFill>
        <a:blip r:embed="rId126"/>
        <a:stretch>
          <a:fillRect/>
        </a:stretch>
      </xdr:blipFill>
      <xdr:spPr>
        <a:xfrm>
          <a:off x="7031990" y="94117795"/>
          <a:ext cx="400685" cy="4051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1" name="ID_791529999DA0443599F813D2BAED4E72"/>
        <xdr:cNvPicPr>
          <a:picLocks noChangeAspect="1"/>
        </xdr:cNvPicPr>
      </xdr:nvPicPr>
      <xdr:blipFill>
        <a:blip r:embed="rId127"/>
        <a:stretch>
          <a:fillRect/>
        </a:stretch>
      </xdr:blipFill>
      <xdr:spPr>
        <a:xfrm>
          <a:off x="6974840" y="30703520"/>
          <a:ext cx="448310" cy="2133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24" name="ID_2E25B8996EA74772AEE80BCA96A2EA02"/>
        <xdr:cNvPicPr>
          <a:picLocks noChangeAspect="1"/>
        </xdr:cNvPicPr>
      </xdr:nvPicPr>
      <xdr:blipFill>
        <a:blip r:embed="rId128"/>
        <a:stretch>
          <a:fillRect/>
        </a:stretch>
      </xdr:blipFill>
      <xdr:spPr>
        <a:xfrm>
          <a:off x="7025005" y="111639350"/>
          <a:ext cx="637540" cy="5524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0" name="ID_98A6B85D284B499F8BECEB092B5EFBF3"/>
        <xdr:cNvPicPr>
          <a:picLocks noChangeAspect="1"/>
        </xdr:cNvPicPr>
      </xdr:nvPicPr>
      <xdr:blipFill>
        <a:blip r:embed="rId129"/>
        <a:stretch>
          <a:fillRect/>
        </a:stretch>
      </xdr:blipFill>
      <xdr:spPr>
        <a:xfrm>
          <a:off x="6946265" y="122755025"/>
          <a:ext cx="589280" cy="39306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7" name="ID_EFFE0F7E79FC4BFFA0F44E028A912F66"/>
        <xdr:cNvPicPr>
          <a:picLocks noChangeAspect="1"/>
        </xdr:cNvPicPr>
      </xdr:nvPicPr>
      <xdr:blipFill>
        <a:blip r:embed="rId130"/>
        <a:stretch>
          <a:fillRect/>
        </a:stretch>
      </xdr:blipFill>
      <xdr:spPr>
        <a:xfrm>
          <a:off x="7098665" y="92857320"/>
          <a:ext cx="304800" cy="4781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2" name="ID_4A8A126D40F049FDB8C80E9F25BD5E60"/>
        <xdr:cNvPicPr>
          <a:picLocks noChangeAspect="1"/>
        </xdr:cNvPicPr>
      </xdr:nvPicPr>
      <xdr:blipFill>
        <a:blip r:embed="rId131"/>
        <a:stretch>
          <a:fillRect/>
        </a:stretch>
      </xdr:blipFill>
      <xdr:spPr>
        <a:xfrm flipV="1">
          <a:off x="6993890" y="95380175"/>
          <a:ext cx="410210" cy="4419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6" name="ID_64458ED9E0D6432580C4A5FD473D19E9"/>
        <xdr:cNvPicPr>
          <a:picLocks noChangeAspect="1"/>
        </xdr:cNvPicPr>
      </xdr:nvPicPr>
      <xdr:blipFill>
        <a:blip r:embed="rId132"/>
        <a:stretch>
          <a:fillRect/>
        </a:stretch>
      </xdr:blipFill>
      <xdr:spPr>
        <a:xfrm>
          <a:off x="6889115" y="115028345"/>
          <a:ext cx="533400" cy="4368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9" name="ID_79E2464998374452BBE9041BAE8E28EA"/>
        <xdr:cNvPicPr>
          <a:picLocks noChangeAspect="1"/>
        </xdr:cNvPicPr>
      </xdr:nvPicPr>
      <xdr:blipFill>
        <a:blip r:embed="rId133"/>
        <a:stretch>
          <a:fillRect/>
        </a:stretch>
      </xdr:blipFill>
      <xdr:spPr>
        <a:xfrm>
          <a:off x="7060565" y="26210260"/>
          <a:ext cx="282575" cy="3390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2" name="ID_F6D1D175AE0B497EA4236F02D4CFD9BD"/>
        <xdr:cNvPicPr>
          <a:picLocks noChangeAspect="1"/>
        </xdr:cNvPicPr>
      </xdr:nvPicPr>
      <xdr:blipFill>
        <a:blip r:embed="rId134"/>
        <a:stretch>
          <a:fillRect/>
        </a:stretch>
      </xdr:blipFill>
      <xdr:spPr>
        <a:xfrm rot="5700000">
          <a:off x="7105015" y="25447625"/>
          <a:ext cx="247650" cy="5467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" name="ID_831E7617F0C44B24AD6E649FB9938C7F" descr="fea64204c777cc834a756569b856e87"/>
        <xdr:cNvPicPr>
          <a:picLocks noChangeAspect="1"/>
        </xdr:cNvPicPr>
      </xdr:nvPicPr>
      <xdr:blipFill>
        <a:blip r:embed="rId135"/>
        <a:stretch>
          <a:fillRect/>
        </a:stretch>
      </xdr:blipFill>
      <xdr:spPr>
        <a:xfrm>
          <a:off x="7009765" y="24212550"/>
          <a:ext cx="345440" cy="614680"/>
        </a:xfrm>
        <a:prstGeom prst="rect">
          <a:avLst/>
        </a:prstGeom>
      </xdr:spPr>
    </xdr:pic>
  </etc:cellImage>
  <etc:cellImage>
    <xdr:pic>
      <xdr:nvPicPr>
        <xdr:cNvPr id="35" name="ID_6992219196614CF18A845A01954C7A3C"/>
        <xdr:cNvPicPr>
          <a:picLocks noChangeAspect="1"/>
        </xdr:cNvPicPr>
      </xdr:nvPicPr>
      <xdr:blipFill>
        <a:blip r:embed="rId136"/>
        <a:stretch>
          <a:fillRect/>
        </a:stretch>
      </xdr:blipFill>
      <xdr:spPr>
        <a:xfrm>
          <a:off x="6908165" y="116978430"/>
          <a:ext cx="561975" cy="3568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66" name="ID_E0E87AFC6FD14FE7ADD79F3C89ED6DA7"/>
        <xdr:cNvPicPr>
          <a:picLocks noChangeAspect="1"/>
        </xdr:cNvPicPr>
      </xdr:nvPicPr>
      <xdr:blipFill>
        <a:blip r:embed="rId137"/>
        <a:stretch>
          <a:fillRect/>
        </a:stretch>
      </xdr:blipFill>
      <xdr:spPr>
        <a:xfrm>
          <a:off x="7108190" y="10341610"/>
          <a:ext cx="360680" cy="4013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0" name="ID_DA84C6D089DE4B649EC3D6197698A766"/>
        <xdr:cNvPicPr>
          <a:picLocks noChangeAspect="1"/>
        </xdr:cNvPicPr>
      </xdr:nvPicPr>
      <xdr:blipFill>
        <a:blip r:embed="rId138"/>
        <a:stretch>
          <a:fillRect/>
        </a:stretch>
      </xdr:blipFill>
      <xdr:spPr>
        <a:xfrm>
          <a:off x="7051040" y="6195060"/>
          <a:ext cx="440055" cy="35306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7" name="ID_CD82AC783521405899B7A8B87ECDB4A9"/>
        <xdr:cNvPicPr>
          <a:picLocks noChangeAspect="1"/>
        </xdr:cNvPicPr>
      </xdr:nvPicPr>
      <xdr:blipFill>
        <a:blip r:embed="rId139"/>
        <a:stretch>
          <a:fillRect/>
        </a:stretch>
      </xdr:blipFill>
      <xdr:spPr>
        <a:xfrm>
          <a:off x="7041515" y="4720590"/>
          <a:ext cx="533400" cy="3644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6" name="ID_D44316869C8C4332B273C44B24E265BB"/>
        <xdr:cNvPicPr>
          <a:picLocks noChangeAspect="1"/>
        </xdr:cNvPicPr>
      </xdr:nvPicPr>
      <xdr:blipFill>
        <a:blip r:embed="rId139"/>
        <a:stretch>
          <a:fillRect/>
        </a:stretch>
      </xdr:blipFill>
      <xdr:spPr>
        <a:xfrm>
          <a:off x="6984365" y="4180840"/>
          <a:ext cx="533400" cy="3644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4" name="ID_79ED5EF48F6F4323AF204E4E6CE3D6B8"/>
        <xdr:cNvPicPr>
          <a:picLocks noChangeAspect="1"/>
        </xdr:cNvPicPr>
      </xdr:nvPicPr>
      <xdr:blipFill>
        <a:blip r:embed="rId140"/>
        <a:stretch>
          <a:fillRect/>
        </a:stretch>
      </xdr:blipFill>
      <xdr:spPr>
        <a:xfrm rot="5400000">
          <a:off x="7084695" y="23490555"/>
          <a:ext cx="304165" cy="6007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A4CB42E86A8D4F82BE0E75DAF0FFB20A"/>
        <xdr:cNvPicPr>
          <a:picLocks noChangeAspect="1"/>
        </xdr:cNvPicPr>
      </xdr:nvPicPr>
      <xdr:blipFill>
        <a:blip r:embed="rId141"/>
        <a:stretch>
          <a:fillRect/>
        </a:stretch>
      </xdr:blipFill>
      <xdr:spPr>
        <a:xfrm flipV="1">
          <a:off x="6946265" y="21824950"/>
          <a:ext cx="599440" cy="946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2" name="ID_6F36CCCEC7234134AE0B239C40502F73"/>
        <xdr:cNvPicPr>
          <a:picLocks noChangeAspect="1"/>
        </xdr:cNvPicPr>
      </xdr:nvPicPr>
      <xdr:blipFill>
        <a:blip r:embed="rId142"/>
        <a:stretch>
          <a:fillRect/>
        </a:stretch>
      </xdr:blipFill>
      <xdr:spPr>
        <a:xfrm>
          <a:off x="6946265" y="22373590"/>
          <a:ext cx="471170" cy="2381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2" name="ID_B93BAEDC6BCA4ED0B4F608AE2FB5F6A6"/>
        <xdr:cNvPicPr>
          <a:picLocks noChangeAspect="1"/>
        </xdr:cNvPicPr>
      </xdr:nvPicPr>
      <xdr:blipFill>
        <a:blip r:embed="rId143"/>
        <a:stretch>
          <a:fillRect/>
        </a:stretch>
      </xdr:blipFill>
      <xdr:spPr>
        <a:xfrm>
          <a:off x="7002780" y="21102955"/>
          <a:ext cx="457835" cy="25527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85" name="ID_8FDF00CA2E3E406D982D962394F787D2"/>
        <xdr:cNvPicPr>
          <a:picLocks noChangeAspect="1"/>
        </xdr:cNvPicPr>
      </xdr:nvPicPr>
      <xdr:blipFill>
        <a:blip r:embed="rId144"/>
        <a:stretch>
          <a:fillRect/>
        </a:stretch>
      </xdr:blipFill>
      <xdr:spPr>
        <a:xfrm>
          <a:off x="7070090" y="102409625"/>
          <a:ext cx="351790" cy="4286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2" name="ID_661B29B58C504A10A72F5EA15EAB19B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5400000">
          <a:off x="7041515" y="113700560"/>
          <a:ext cx="368300" cy="4914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8" name="ID_1C15F29281F5495685181EB3F5F05C3D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5400000" flipH="1">
          <a:off x="7093585" y="18468975"/>
          <a:ext cx="276225" cy="43053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9" name="ID_A425A1AF3DF14D419131D88865767BB2"/>
        <xdr:cNvPicPr>
          <a:picLocks noChangeAspect="1"/>
        </xdr:cNvPicPr>
      </xdr:nvPicPr>
      <xdr:blipFill>
        <a:blip r:embed="rId145"/>
        <a:stretch>
          <a:fillRect/>
        </a:stretch>
      </xdr:blipFill>
      <xdr:spPr>
        <a:xfrm rot="5400000">
          <a:off x="7146290" y="17733010"/>
          <a:ext cx="249555" cy="53594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0" name="ID_5BDFA403C887433F8E4E0B7142872B7D"/>
        <xdr:cNvPicPr>
          <a:picLocks noChangeAspect="1"/>
        </xdr:cNvPicPr>
      </xdr:nvPicPr>
      <xdr:blipFill>
        <a:blip r:embed="rId146"/>
        <a:stretch>
          <a:fillRect/>
        </a:stretch>
      </xdr:blipFill>
      <xdr:spPr>
        <a:xfrm rot="5400000">
          <a:off x="7120890" y="17112615"/>
          <a:ext cx="281940" cy="5022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1" name="ID_E552789E99CA49DBB8EA2F40C51AA5D5"/>
        <xdr:cNvPicPr>
          <a:picLocks noChangeAspect="1"/>
        </xdr:cNvPicPr>
      </xdr:nvPicPr>
      <xdr:blipFill>
        <a:blip r:embed="rId147"/>
        <a:stretch>
          <a:fillRect/>
        </a:stretch>
      </xdr:blipFill>
      <xdr:spPr>
        <a:xfrm>
          <a:off x="7022465" y="96089470"/>
          <a:ext cx="427355" cy="42418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9" name="ID_217903243EFE4649BF9754EBA6C6ECA8"/>
        <xdr:cNvPicPr>
          <a:picLocks noChangeAspect="1"/>
        </xdr:cNvPicPr>
      </xdr:nvPicPr>
      <xdr:blipFill>
        <a:blip r:embed="rId148"/>
        <a:stretch>
          <a:fillRect/>
        </a:stretch>
      </xdr:blipFill>
      <xdr:spPr>
        <a:xfrm rot="5400000">
          <a:off x="7096125" y="106756835"/>
          <a:ext cx="167005" cy="56705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4" name="ID_CCCF3237BAC94D5398E6C9554B69AF00"/>
        <xdr:cNvPicPr>
          <a:picLocks noChangeAspect="1" noChangeArrowheads="1"/>
        </xdr:cNvPicPr>
      </xdr:nvPicPr>
      <xdr:blipFill>
        <a:blip r:embed="rId149"/>
        <a:srcRect/>
        <a:stretch>
          <a:fillRect/>
        </a:stretch>
      </xdr:blipFill>
      <xdr:spPr>
        <a:xfrm rot="5400000" flipV="1">
          <a:off x="7126605" y="15921355"/>
          <a:ext cx="325120" cy="4070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</etc:cellImage>
  <etc:cellImage>
    <xdr:pic>
      <xdr:nvPicPr>
        <xdr:cNvPr id="184" name="ID_80ECB6E2601F41C483B380F009A9A44B"/>
        <xdr:cNvPicPr>
          <a:picLocks noChangeAspect="1"/>
        </xdr:cNvPicPr>
      </xdr:nvPicPr>
      <xdr:blipFill>
        <a:blip r:embed="rId150"/>
        <a:stretch>
          <a:fillRect/>
        </a:stretch>
      </xdr:blipFill>
      <xdr:spPr>
        <a:xfrm rot="5400000" flipH="1">
          <a:off x="7164705" y="10710545"/>
          <a:ext cx="294640" cy="72961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4" name="ID_6675F4A55D8149C4A22735880CC9B1DE"/>
        <xdr:cNvPicPr>
          <a:picLocks noChangeAspect="1"/>
        </xdr:cNvPicPr>
      </xdr:nvPicPr>
      <xdr:blipFill>
        <a:blip r:embed="rId139"/>
        <a:stretch>
          <a:fillRect/>
        </a:stretch>
      </xdr:blipFill>
      <xdr:spPr>
        <a:xfrm>
          <a:off x="6955790" y="3182620"/>
          <a:ext cx="533400" cy="3644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3" name="ID_D28F4C66F3A745F2AD55207885ABCBE7"/>
        <xdr:cNvPicPr>
          <a:picLocks noChangeAspect="1"/>
        </xdr:cNvPicPr>
      </xdr:nvPicPr>
      <xdr:blipFill>
        <a:blip r:embed="rId151"/>
        <a:stretch>
          <a:fillRect/>
        </a:stretch>
      </xdr:blipFill>
      <xdr:spPr>
        <a:xfrm>
          <a:off x="7089140" y="2695575"/>
          <a:ext cx="438150" cy="39433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2" name="ID_804EBB7873F14AACA06D9409B4FB18D3"/>
        <xdr:cNvPicPr>
          <a:picLocks noChangeAspect="1"/>
        </xdr:cNvPicPr>
      </xdr:nvPicPr>
      <xdr:blipFill>
        <a:blip r:embed="rId152"/>
        <a:stretch>
          <a:fillRect/>
        </a:stretch>
      </xdr:blipFill>
      <xdr:spPr>
        <a:xfrm>
          <a:off x="7079615" y="2216785"/>
          <a:ext cx="486410" cy="381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1" name="ID_3D39FF0AC37F46878583938C1C2C8793"/>
        <xdr:cNvPicPr>
          <a:picLocks noChangeAspect="1"/>
        </xdr:cNvPicPr>
      </xdr:nvPicPr>
      <xdr:blipFill>
        <a:blip r:embed="rId153"/>
        <a:stretch>
          <a:fillRect/>
        </a:stretch>
      </xdr:blipFill>
      <xdr:spPr>
        <a:xfrm>
          <a:off x="7060565" y="1301115"/>
          <a:ext cx="363220" cy="41338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3" name="ID_663AB3ABA19541D1BEEA5B88A126617E"/>
        <xdr:cNvPicPr>
          <a:picLocks noChangeAspect="1"/>
        </xdr:cNvPicPr>
      </xdr:nvPicPr>
      <xdr:blipFill>
        <a:blip r:embed="rId154"/>
        <a:stretch>
          <a:fillRect/>
        </a:stretch>
      </xdr:blipFill>
      <xdr:spPr>
        <a:xfrm rot="5400000">
          <a:off x="6972935" y="120070880"/>
          <a:ext cx="441960" cy="63500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E114AA2E75AC4864B94E550DAFC3D2B4"/>
        <xdr:cNvPicPr>
          <a:picLocks noChangeAspect="1"/>
        </xdr:cNvPicPr>
      </xdr:nvPicPr>
      <xdr:blipFill>
        <a:blip r:embed="rId155"/>
        <a:stretch>
          <a:fillRect/>
        </a:stretch>
      </xdr:blipFill>
      <xdr:spPr>
        <a:xfrm>
          <a:off x="8034020" y="148353145"/>
          <a:ext cx="677545" cy="5803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2" name="ID_D8C886A7ECD944659A8DDA6DCA0F6895"/>
        <xdr:cNvPicPr>
          <a:picLocks noChangeAspect="1"/>
        </xdr:cNvPicPr>
      </xdr:nvPicPr>
      <xdr:blipFill>
        <a:blip r:embed="rId156"/>
        <a:stretch>
          <a:fillRect/>
        </a:stretch>
      </xdr:blipFill>
      <xdr:spPr>
        <a:xfrm>
          <a:off x="8205470" y="148972270"/>
          <a:ext cx="327025" cy="54229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2" name="ID_931BF1014E6D4626ACA6BE079F84D662"/>
        <xdr:cNvPicPr>
          <a:picLocks noChangeAspect="1"/>
        </xdr:cNvPicPr>
      </xdr:nvPicPr>
      <xdr:blipFill>
        <a:blip r:embed="rId157"/>
        <a:stretch>
          <a:fillRect/>
        </a:stretch>
      </xdr:blipFill>
      <xdr:spPr>
        <a:xfrm>
          <a:off x="8062595" y="149811105"/>
          <a:ext cx="633095" cy="1936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8" name="ID_D2CF82C28041421DB1D12FB5C338AEA5"/>
        <xdr:cNvPicPr>
          <a:picLocks noChangeAspect="1"/>
        </xdr:cNvPicPr>
      </xdr:nvPicPr>
      <xdr:blipFill>
        <a:blip r:embed="rId158"/>
        <a:stretch>
          <a:fillRect/>
        </a:stretch>
      </xdr:blipFill>
      <xdr:spPr>
        <a:xfrm>
          <a:off x="8110220" y="150960455"/>
          <a:ext cx="363220" cy="36004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5" name="ID_16BDD9B347324763A29B15523A97E7CF"/>
        <xdr:cNvPicPr>
          <a:picLocks noChangeAspect="1"/>
        </xdr:cNvPicPr>
      </xdr:nvPicPr>
      <xdr:blipFill>
        <a:blip r:embed="rId159"/>
        <a:stretch>
          <a:fillRect/>
        </a:stretch>
      </xdr:blipFill>
      <xdr:spPr>
        <a:xfrm>
          <a:off x="8167370" y="151481790"/>
          <a:ext cx="607060" cy="68770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8" name="ID_E7666984EA374827B73FE12B41E523FD"/>
        <xdr:cNvPicPr>
          <a:picLocks noChangeAspect="1"/>
        </xdr:cNvPicPr>
      </xdr:nvPicPr>
      <xdr:blipFill>
        <a:blip r:embed="rId160"/>
        <a:stretch>
          <a:fillRect/>
        </a:stretch>
      </xdr:blipFill>
      <xdr:spPr>
        <a:xfrm>
          <a:off x="8243570" y="152135205"/>
          <a:ext cx="528955" cy="70421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<sst xmlns="http://schemas.openxmlformats.org/spreadsheetml/2006/main" count="980" uniqueCount="437">
  <si>
    <t>南宁威凯智慧物业服务有限公司2025-2026年度保洁用品报价清单表</t>
  </si>
  <si>
    <r>
      <rPr>
        <b/>
        <sz val="12"/>
        <color rgb="FFFF0000"/>
        <rFont val="宋体"/>
        <charset val="134"/>
        <scheme val="minor"/>
      </rPr>
      <t>税率</t>
    </r>
    <r>
      <rPr>
        <b/>
        <u/>
        <sz val="12"/>
        <color rgb="FFFF0000"/>
        <rFont val="宋体"/>
        <charset val="134"/>
        <scheme val="minor"/>
      </rPr>
      <t xml:space="preserve">    </t>
    </r>
    <r>
      <rPr>
        <b/>
        <sz val="12"/>
        <color rgb="FFFF0000"/>
        <rFont val="宋体"/>
        <charset val="134"/>
        <scheme val="minor"/>
      </rPr>
      <t>%</t>
    </r>
    <r>
      <rPr>
        <b/>
        <sz val="12"/>
        <color theme="1"/>
        <rFont val="宋体"/>
        <charset val="134"/>
        <scheme val="minor"/>
      </rPr>
      <t>，以下报价包括但不限于材料费、人工费、运输费、搬运费、售后服务费、损耗费、管理费、利润、各项税费、责任义务等各项费用，以及乙方给予甲方的所有有关优惠等。</t>
    </r>
  </si>
  <si>
    <t>序号</t>
  </si>
  <si>
    <t>名称</t>
  </si>
  <si>
    <t>类别</t>
  </si>
  <si>
    <t>规格/型号</t>
  </si>
  <si>
    <t>单位</t>
  </si>
  <si>
    <t>数量</t>
  </si>
  <si>
    <r>
      <rPr>
        <b/>
        <sz val="12"/>
        <color rgb="FFFF0000"/>
        <rFont val="宋体"/>
        <charset val="134"/>
      </rPr>
      <t>该列为上控价，报价超过本列价格无效</t>
    </r>
    <r>
      <rPr>
        <b/>
        <sz val="12"/>
        <color rgb="FF000000"/>
        <rFont val="宋体"/>
        <charset val="134"/>
      </rPr>
      <t xml:space="preserve">
含税单价（元）</t>
    </r>
  </si>
  <si>
    <t>单位含税报价（元）</t>
  </si>
  <si>
    <t>含税总金额（元）</t>
  </si>
  <si>
    <t>图片</t>
  </si>
  <si>
    <t>是否送样</t>
  </si>
  <si>
    <t>23是否送样</t>
  </si>
  <si>
    <t>报价备注
（如无同品牌，可按同等质量品牌替代且备注说明）</t>
  </si>
  <si>
    <t>纸巾</t>
  </si>
  <si>
    <t>纸制品</t>
  </si>
  <si>
    <t>洁柔，L号3包/提，3层130抽/包</t>
  </si>
  <si>
    <t>提</t>
  </si>
  <si>
    <t>洁柔，M号6包/提，3层120抽/包</t>
  </si>
  <si>
    <t>大盘纸</t>
  </si>
  <si>
    <t>心相印，/188米/卷，12卷/箱</t>
  </si>
  <si>
    <t>箱</t>
  </si>
  <si>
    <t>抽纸</t>
  </si>
  <si>
    <t>心相印 XL  3包/提，200抽</t>
  </si>
  <si>
    <t>一次性洗碗巾</t>
  </si>
  <si>
    <t>一次性用品</t>
  </si>
  <si>
    <t>尊享款35片一卷，
单片尺寸：25*25cm</t>
  </si>
  <si>
    <t>卷</t>
  </si>
  <si>
    <t>一次性手套</t>
  </si>
  <si>
    <t>食品用，50双/包</t>
  </si>
  <si>
    <t>包</t>
  </si>
  <si>
    <t>一次性碟子</t>
  </si>
  <si>
    <t>10个/包 中号</t>
  </si>
  <si>
    <t>10个/包 小号</t>
  </si>
  <si>
    <t>洗衣粉</t>
  </si>
  <si>
    <t>汰渍2.8KG/包</t>
  </si>
  <si>
    <t>218G洗衣粉</t>
  </si>
  <si>
    <t>汰渍218g</t>
  </si>
  <si>
    <t>圆头拖把</t>
  </si>
  <si>
    <t>拖把</t>
  </si>
  <si>
    <t>铁箍白色布条</t>
  </si>
  <si>
    <t>把</t>
  </si>
  <si>
    <t>√</t>
  </si>
  <si>
    <t>铁箍布条</t>
  </si>
  <si>
    <t>铁箍纱彩条</t>
  </si>
  <si>
    <t>细纱条拖把</t>
  </si>
  <si>
    <t>木柄</t>
  </si>
  <si>
    <t>拖把桶配套</t>
  </si>
  <si>
    <t>套</t>
  </si>
  <si>
    <t>拖把桶</t>
  </si>
  <si>
    <t>个</t>
  </si>
  <si>
    <t>推水地刮头</t>
  </si>
  <si>
    <t>75cm刮头</t>
  </si>
  <si>
    <t>推水地刮</t>
  </si>
  <si>
    <t>铁头+不锈钢杆，75CM</t>
  </si>
  <si>
    <t>平板拖把</t>
  </si>
  <si>
    <t>30CM</t>
  </si>
  <si>
    <t>40CM</t>
  </si>
  <si>
    <t>排拖把</t>
  </si>
  <si>
    <t>40#木排</t>
  </si>
  <si>
    <t>60#木排</t>
  </si>
  <si>
    <t>60#铁排</t>
  </si>
  <si>
    <t>40#铁排拖</t>
  </si>
  <si>
    <t>80公分铁排拖把</t>
  </si>
  <si>
    <t>蜡拖布</t>
  </si>
  <si>
    <t>块</t>
  </si>
  <si>
    <t>蜡拖把</t>
  </si>
  <si>
    <t>海绵拖</t>
  </si>
  <si>
    <t>大型推水器（带滚轮）</t>
  </si>
  <si>
    <t>尘推杆</t>
  </si>
  <si>
    <t>1.5米/品牌：白云</t>
  </si>
  <si>
    <t>根</t>
  </si>
  <si>
    <t>按110CM规格同等质量</t>
  </si>
  <si>
    <t>尘推布</t>
  </si>
  <si>
    <t>110cm/品牌：白云</t>
  </si>
  <si>
    <t>条</t>
  </si>
  <si>
    <t>90CM/厚/品牌：白云</t>
  </si>
  <si>
    <t>60CM蓝色/品牌：白云</t>
  </si>
  <si>
    <t>尘推</t>
  </si>
  <si>
    <t>60cm/品牌：白云</t>
  </si>
  <si>
    <t>标准型大堂尘推</t>
  </si>
  <si>
    <t>90#/品牌：白云</t>
  </si>
  <si>
    <t>樟脑丸</t>
  </si>
  <si>
    <t>四害</t>
  </si>
  <si>
    <t>大颗粒装/5粒/条/家和</t>
  </si>
  <si>
    <t>无味杀虫剂</t>
  </si>
  <si>
    <t>黑客/600ML/瓶</t>
  </si>
  <si>
    <t>瓶</t>
  </si>
  <si>
    <t>蚊香盘</t>
  </si>
  <si>
    <t>圆形</t>
  </si>
  <si>
    <t>蚊香</t>
  </si>
  <si>
    <t>黑客 5双盘10卷</t>
  </si>
  <si>
    <t>盒</t>
  </si>
  <si>
    <t>檀香架</t>
  </si>
  <si>
    <t>高</t>
  </si>
  <si>
    <t>檀香</t>
  </si>
  <si>
    <t>10卷/盒  原味</t>
  </si>
  <si>
    <t>老鼠药</t>
  </si>
  <si>
    <t>溴敌隆，20kg/件</t>
  </si>
  <si>
    <t>件</t>
  </si>
  <si>
    <t>老鼠屋</t>
  </si>
  <si>
    <t>水泥材质，一体成型</t>
  </si>
  <si>
    <t>老鼠贴</t>
  </si>
  <si>
    <t>5片装/包</t>
  </si>
  <si>
    <t>捞网</t>
  </si>
  <si>
    <t>胶桶</t>
  </si>
  <si>
    <t>水桶</t>
  </si>
  <si>
    <t>250-300L，国标厚实</t>
  </si>
  <si>
    <t>线手套</t>
  </si>
  <si>
    <t>手套</t>
  </si>
  <si>
    <t>12双/包</t>
  </si>
  <si>
    <t>乳胶手套</t>
  </si>
  <si>
    <t>双</t>
  </si>
  <si>
    <t>浸胶手套</t>
  </si>
  <si>
    <t>胶手套</t>
  </si>
  <si>
    <t>黄</t>
  </si>
  <si>
    <t>点胶手套</t>
  </si>
  <si>
    <t>竹枝扫</t>
  </si>
  <si>
    <t>扫把</t>
  </si>
  <si>
    <t>10把/捆</t>
  </si>
  <si>
    <t>捆</t>
  </si>
  <si>
    <t>竹叶扫</t>
  </si>
  <si>
    <t>梱</t>
  </si>
  <si>
    <t>竹扫把</t>
  </si>
  <si>
    <t>10把/捆 2米带杆</t>
  </si>
  <si>
    <t>长竹叶扫把</t>
  </si>
  <si>
    <t>铁皮垃圾铲</t>
  </si>
  <si>
    <t>铁皮</t>
  </si>
  <si>
    <t>加厚垃圾铲</t>
  </si>
  <si>
    <t>塑料扫把（单头）</t>
  </si>
  <si>
    <t>塑料扫把</t>
  </si>
  <si>
    <t>扫把垃圾铲组合</t>
  </si>
  <si>
    <t>塑料垃圾铲</t>
  </si>
  <si>
    <t>塑料</t>
  </si>
  <si>
    <t>山枝扫</t>
  </si>
  <si>
    <t>胶扫把</t>
  </si>
  <si>
    <t>地刷（木杆）</t>
  </si>
  <si>
    <t>大竹把</t>
  </si>
  <si>
    <t>中性抑菌清洁剂</t>
  </si>
  <si>
    <t>清洁用品</t>
  </si>
  <si>
    <t>3.8L/瓶  超宝</t>
  </si>
  <si>
    <t>油性静电吸尘剂</t>
  </si>
  <si>
    <t>3.78L/瓶 超宝</t>
  </si>
  <si>
    <t>盐酸</t>
  </si>
  <si>
    <t>50斤/桶 邕亿</t>
  </si>
  <si>
    <t>桶</t>
  </si>
  <si>
    <t>小苏打粉</t>
  </si>
  <si>
    <t>斤</t>
  </si>
  <si>
    <t>散装</t>
  </si>
  <si>
    <t>小便池除臭芳香片</t>
  </si>
  <si>
    <t>一条5颗</t>
  </si>
  <si>
    <t>消毒液（酒精）</t>
  </si>
  <si>
    <t>75%医用酒精/500Ml</t>
  </si>
  <si>
    <t>消毒水</t>
  </si>
  <si>
    <t>氯水25kg 康雅</t>
  </si>
  <si>
    <t>84消毒/25kg 邕亿</t>
  </si>
  <si>
    <t>消毒片</t>
  </si>
  <si>
    <t>百消净，1000G/瓶</t>
  </si>
  <si>
    <t>洗衣液</t>
  </si>
  <si>
    <t>500G/包、汰渍</t>
  </si>
  <si>
    <t>洗手液</t>
  </si>
  <si>
    <t>花香洗手液（芦荟）500ml ，30瓶/件</t>
  </si>
  <si>
    <t>洗石水</t>
  </si>
  <si>
    <t>洗洁精</t>
  </si>
  <si>
    <t>408G 立白</t>
  </si>
  <si>
    <t>25KG/桶邕亿</t>
  </si>
  <si>
    <t>立白，1.12KG/瓶</t>
  </si>
  <si>
    <t>脱漆剂</t>
  </si>
  <si>
    <t>三和/4L/瓶</t>
  </si>
  <si>
    <t>天那水</t>
  </si>
  <si>
    <t>500ML/瓶</t>
  </si>
  <si>
    <t>汰渍洗衣粉</t>
  </si>
  <si>
    <t>508克*12包</t>
  </si>
  <si>
    <t>酸性除锈剂</t>
  </si>
  <si>
    <t>水垢清除剂（洁星力）</t>
  </si>
  <si>
    <t>510G/包</t>
  </si>
  <si>
    <t>全能清洁剂</t>
  </si>
  <si>
    <t>50斤/桶</t>
  </si>
  <si>
    <t>去污粉</t>
  </si>
  <si>
    <t>500G/包/洁星力</t>
  </si>
  <si>
    <t>强力起蜡水</t>
  </si>
  <si>
    <t>绿水（中性全能清洁剂）</t>
  </si>
  <si>
    <t>3.8L/瓶 超宝</t>
  </si>
  <si>
    <t>蓝泡泡</t>
  </si>
  <si>
    <t>4片/盒</t>
  </si>
  <si>
    <t>空气清新剂</t>
  </si>
  <si>
    <t>酒精</t>
  </si>
  <si>
    <t>20公斤/桶</t>
  </si>
  <si>
    <t>静电吸尘埃剂</t>
  </si>
  <si>
    <t>洁厕灵</t>
  </si>
  <si>
    <t>万丽洁500G</t>
  </si>
  <si>
    <t>洁厕剂</t>
  </si>
  <si>
    <t>红水</t>
  </si>
  <si>
    <t>115A洁厕剂，3.8L/瓶 超宝</t>
  </si>
  <si>
    <t>高泡地毯清洁剂</t>
  </si>
  <si>
    <t>肥皂</t>
  </si>
  <si>
    <t>102克/块</t>
  </si>
  <si>
    <t>地毯起渍剂</t>
  </si>
  <si>
    <t>地板蜡</t>
  </si>
  <si>
    <t>5L</t>
  </si>
  <si>
    <t>大包洗衣粉</t>
  </si>
  <si>
    <t>40斤/包妙工</t>
  </si>
  <si>
    <t>除油剂</t>
  </si>
  <si>
    <t>3.8L超宝</t>
  </si>
  <si>
    <t>除胶剂</t>
  </si>
  <si>
    <t>凯圣1*24</t>
  </si>
  <si>
    <t>尘推油（油静电吸尘剂）</t>
  </si>
  <si>
    <t>超宝 3.8L/瓶</t>
  </si>
  <si>
    <t>草酸</t>
  </si>
  <si>
    <t>25KG/桶</t>
  </si>
  <si>
    <t>草甘膦</t>
  </si>
  <si>
    <t>5KG/桶/闲半年，4桶/件</t>
  </si>
  <si>
    <t>不锈钢光亮剂</t>
  </si>
  <si>
    <t>3.8L 超宝/康雅</t>
  </si>
  <si>
    <t>不锈钢保养剂</t>
  </si>
  <si>
    <t>超宝 3.8L/桶</t>
  </si>
  <si>
    <t>不干胶除胶剂</t>
  </si>
  <si>
    <t>450ML</t>
  </si>
  <si>
    <t>玻璃清洁剂</t>
  </si>
  <si>
    <t>3.8L/桶  超宝</t>
  </si>
  <si>
    <t>84消毒液</t>
  </si>
  <si>
    <t>500Ml 博亨</t>
  </si>
  <si>
    <t>128除胶剂</t>
  </si>
  <si>
    <t>超宝，700Ml</t>
  </si>
  <si>
    <t>小方巾</t>
  </si>
  <si>
    <t>毛巾</t>
  </si>
  <si>
    <t>30*30CM</t>
  </si>
  <si>
    <t>纤维毛巾（绿色）</t>
  </si>
  <si>
    <t>30*40cm</t>
  </si>
  <si>
    <t>纤维毛巾（蓝色）</t>
  </si>
  <si>
    <t>纤维毛巾（红色）</t>
  </si>
  <si>
    <t>洗碗布</t>
  </si>
  <si>
    <t>竹纤维</t>
  </si>
  <si>
    <t>35*75CM</t>
  </si>
  <si>
    <t>保洁毛巾</t>
  </si>
  <si>
    <t>40*80cm，红黄蓝三色</t>
  </si>
  <si>
    <t>百洁布</t>
  </si>
  <si>
    <t>厚</t>
  </si>
  <si>
    <t>塑料垃圾桶</t>
  </si>
  <si>
    <t>垃圾桶</t>
  </si>
  <si>
    <t>38L</t>
  </si>
  <si>
    <t>240L 国标</t>
  </si>
  <si>
    <t>塑料垃圾篓</t>
  </si>
  <si>
    <t>家潔宝塑料28CM</t>
  </si>
  <si>
    <t>垃圾桶内胆</t>
  </si>
  <si>
    <t>31*27*43，玻璃纤维、绿色</t>
  </si>
  <si>
    <t>垃圾篓</t>
  </si>
  <si>
    <t>常规办公室用口径25CM 中南</t>
  </si>
  <si>
    <t>垃圾筐</t>
  </si>
  <si>
    <t>塑料  15L</t>
  </si>
  <si>
    <t>弹盖垃圾桶（普通版）</t>
  </si>
  <si>
    <t>30L</t>
  </si>
  <si>
    <t>小垃圾袋</t>
  </si>
  <si>
    <t>垃圾袋</t>
  </si>
  <si>
    <t>30#垃圾袋，60扎/件，品牌：万顺通</t>
  </si>
  <si>
    <t>扎</t>
  </si>
  <si>
    <t>平口袋</t>
  </si>
  <si>
    <t>92*120</t>
  </si>
  <si>
    <t>85*48CM平口垃圾袋</t>
  </si>
  <si>
    <t xml:space="preserve">垃圾袋 </t>
  </si>
  <si>
    <t>36#，,25个/扎 普通/品牌：万顺通</t>
  </si>
  <si>
    <t>23个/扎，36#PE袋/品牌：万顺通</t>
  </si>
  <si>
    <t>48#，普通/品牌：万顺通</t>
  </si>
  <si>
    <t>PE袋/23个左右/扎55#/品牌：万顺通</t>
  </si>
  <si>
    <t>82*100/25个左右/扎平口</t>
  </si>
  <si>
    <t>50个/扎，30扎/件85*48CM平口</t>
  </si>
  <si>
    <t>500个/件120*130CM</t>
  </si>
  <si>
    <t>（100*120cm）</t>
  </si>
  <si>
    <t>240L配套垃圾袋</t>
  </si>
  <si>
    <t>100L垃圾桶专用（规格90*120）</t>
  </si>
  <si>
    <t>55*65CM 50条/件</t>
  </si>
  <si>
    <t>65#，25个/扎 PE/品牌：万顺通</t>
  </si>
  <si>
    <t>60卷/件45*50连卷</t>
  </si>
  <si>
    <t>23个/扎48# PE/品牌：万顺通</t>
  </si>
  <si>
    <t>120*140平口，200个/件，1件10扎</t>
  </si>
  <si>
    <t>环保袋</t>
  </si>
  <si>
    <t>36#，23-25个/扎</t>
  </si>
  <si>
    <t>48#，23-25个/扎</t>
  </si>
  <si>
    <t>55#，23-25个/扎</t>
  </si>
  <si>
    <t>65#，23-25个/扎</t>
  </si>
  <si>
    <t>越南帽子</t>
  </si>
  <si>
    <t>服装</t>
  </si>
  <si>
    <t>46-48CM/防晒</t>
  </si>
  <si>
    <t>雨衣</t>
  </si>
  <si>
    <t>分体圆点</t>
  </si>
  <si>
    <t>连体圆点</t>
  </si>
  <si>
    <t>绿色分体防范雨衣</t>
  </si>
  <si>
    <t>水鞋</t>
  </si>
  <si>
    <t>骆祥牌/男款</t>
  </si>
  <si>
    <t>女款</t>
  </si>
  <si>
    <t>耐酸碱橡胶手套</t>
  </si>
  <si>
    <t>55CM</t>
  </si>
  <si>
    <t>固体芳香膏</t>
  </si>
  <si>
    <t>厕所用品</t>
  </si>
  <si>
    <t>柠檬味90克</t>
  </si>
  <si>
    <t>厕所刷（方头）</t>
  </si>
  <si>
    <t>塑料 柄长48CM</t>
  </si>
  <si>
    <t>厕所管道疏通器</t>
  </si>
  <si>
    <t>1.5米 手摇</t>
  </si>
  <si>
    <t>厕刷圆</t>
  </si>
  <si>
    <t>福源</t>
  </si>
  <si>
    <t>除臭丸</t>
  </si>
  <si>
    <t>5粒/条，芳香球</t>
  </si>
  <si>
    <t>双面玻璃刮内棉</t>
  </si>
  <si>
    <t>玻璃刮</t>
  </si>
  <si>
    <t>白云抹水器</t>
  </si>
  <si>
    <t>双面玻璃刮</t>
  </si>
  <si>
    <t>5-12cm</t>
  </si>
  <si>
    <t>15-24cm</t>
  </si>
  <si>
    <t>3-5cm</t>
  </si>
  <si>
    <t>按15-24CM规格同等质量</t>
  </si>
  <si>
    <t>3.8CM单层</t>
  </si>
  <si>
    <t>刮玻器胶条</t>
  </si>
  <si>
    <t>35cm</t>
  </si>
  <si>
    <t>单面玻璃刮（含夹子）</t>
  </si>
  <si>
    <t>35公分</t>
  </si>
  <si>
    <t>玻璃刮毛头</t>
  </si>
  <si>
    <t>玻璃刮胶条</t>
  </si>
  <si>
    <t>105cm</t>
  </si>
  <si>
    <t>玻璃刮柄杆</t>
  </si>
  <si>
    <t>6米</t>
  </si>
  <si>
    <t>3米可伸缩</t>
  </si>
  <si>
    <t>玻璃刮刮头，35cm</t>
  </si>
  <si>
    <t>玻璃刮刮头，45cm</t>
  </si>
  <si>
    <t>竹箩筐</t>
  </si>
  <si>
    <t>2个/付</t>
  </si>
  <si>
    <t>付</t>
  </si>
  <si>
    <t>竹竿</t>
  </si>
  <si>
    <t>中号水瓢</t>
  </si>
  <si>
    <t>10.5cm*18cm</t>
  </si>
  <si>
    <t>蜘蛛网扫</t>
  </si>
  <si>
    <t>配2.4米杆</t>
  </si>
  <si>
    <t>长柄垃圾夹</t>
  </si>
  <si>
    <t>小喷壶</t>
  </si>
  <si>
    <t>500ml</t>
  </si>
  <si>
    <t>2KG容量</t>
  </si>
  <si>
    <t>小毛刷</t>
  </si>
  <si>
    <t>4寸</t>
  </si>
  <si>
    <t>塑料红绳</t>
  </si>
  <si>
    <t>70g/卷，原生料</t>
  </si>
  <si>
    <t>松香</t>
  </si>
  <si>
    <t>190G</t>
  </si>
  <si>
    <t>13L/加厚钢化桶</t>
  </si>
  <si>
    <t>水果刀</t>
  </si>
  <si>
    <t>水管接头</t>
  </si>
  <si>
    <t>20#</t>
  </si>
  <si>
    <t>25#</t>
  </si>
  <si>
    <t>疏通皮碗</t>
  </si>
  <si>
    <t>手摇下水道疏通器</t>
  </si>
  <si>
    <t>手消液</t>
  </si>
  <si>
    <t>免手洗凝胶，奥洁消500ML/瓶</t>
  </si>
  <si>
    <t>手动抽泵头</t>
  </si>
  <si>
    <t>手动抽泵头（盐酸用），配合盐酸桶扭紧使用</t>
  </si>
  <si>
    <t>伸缩杆</t>
  </si>
  <si>
    <t>2.4米</t>
  </si>
  <si>
    <t>蛇皮袋</t>
  </si>
  <si>
    <t>80*120CM</t>
  </si>
  <si>
    <t>清洁腰包</t>
  </si>
  <si>
    <t>气筒式马桶疏通器</t>
  </si>
  <si>
    <t>台</t>
  </si>
  <si>
    <t>喷壶</t>
  </si>
  <si>
    <t>白云500ML</t>
  </si>
  <si>
    <t>免洗洗手液</t>
  </si>
  <si>
    <t>500ML，奥洁消</t>
  </si>
  <si>
    <t>马桶刷（棉布）</t>
  </si>
  <si>
    <t>绿化小锄头</t>
  </si>
  <si>
    <t>铁柄</t>
  </si>
  <si>
    <t>蓝月亮洗手液</t>
  </si>
  <si>
    <t>口罩</t>
  </si>
  <si>
    <t>16层纱布，10个/包</t>
  </si>
  <si>
    <t>金属除锈剂</t>
  </si>
  <si>
    <t>洁厕宝</t>
  </si>
  <si>
    <t>1000ML</t>
  </si>
  <si>
    <t>胶水管</t>
  </si>
  <si>
    <t>20# 盛林牌 50米/卷</t>
  </si>
  <si>
    <t>25# 盛林牌 50米/卷</t>
  </si>
  <si>
    <t>鸡毛掸子</t>
  </si>
  <si>
    <t>80CM</t>
  </si>
  <si>
    <t>火钳</t>
  </si>
  <si>
    <t>50CM</t>
  </si>
  <si>
    <t>工作长袖套</t>
  </si>
  <si>
    <t>高压水枪</t>
  </si>
  <si>
    <t>可调节水枪，原长5m，伸长后15m</t>
  </si>
  <si>
    <t>钢丝球</t>
  </si>
  <si>
    <t>普通</t>
  </si>
  <si>
    <t>多用途清洁手推车</t>
  </si>
  <si>
    <t>白云，100CM*50CM</t>
  </si>
  <si>
    <t>电梯不锈钢油</t>
  </si>
  <si>
    <t>3.6L/瓶</t>
  </si>
  <si>
    <t>尘推架</t>
  </si>
  <si>
    <t>45cm</t>
  </si>
  <si>
    <t>60cm</t>
  </si>
  <si>
    <t>90cm</t>
  </si>
  <si>
    <t>110cm</t>
  </si>
  <si>
    <t>铲刀片</t>
  </si>
  <si>
    <t>10片/盒</t>
  </si>
  <si>
    <t>铲刀</t>
  </si>
  <si>
    <t>10CM</t>
  </si>
  <si>
    <t>草耙</t>
  </si>
  <si>
    <t>钢丝把头 1.2米木柄</t>
  </si>
  <si>
    <t>彩条防水布</t>
  </si>
  <si>
    <t>宽6米，65G</t>
  </si>
  <si>
    <t>米</t>
  </si>
  <si>
    <t>8*8M，120G</t>
  </si>
  <si>
    <t>张</t>
  </si>
  <si>
    <t>擦鞋机</t>
  </si>
  <si>
    <t>华腾，高75cm</t>
  </si>
  <si>
    <t>杯刷</t>
  </si>
  <si>
    <t>海绵，长40cm</t>
  </si>
  <si>
    <t>保温壶</t>
  </si>
  <si>
    <t>得力17754 2L</t>
  </si>
  <si>
    <t>洗地机垫</t>
  </si>
  <si>
    <t>17寸，白色</t>
  </si>
  <si>
    <t>片</t>
  </si>
  <si>
    <t>配件</t>
  </si>
  <si>
    <t>17寸，红色</t>
  </si>
  <si>
    <t>绿化手套</t>
  </si>
  <si>
    <t>魔术拖把（硅胶头）</t>
  </si>
  <si>
    <t>50cm宽</t>
  </si>
  <si>
    <t>海绵拖把头</t>
  </si>
  <si>
    <t>38CM海绵拖把头</t>
  </si>
  <si>
    <t>蟑螂药</t>
  </si>
  <si>
    <t>杀虫饵剂/宁尔/高浓度/5g/包</t>
  </si>
  <si>
    <t>蓝月亮2kg，瓶装</t>
  </si>
  <si>
    <t>钢丝刷</t>
  </si>
  <si>
    <t>长把，刷长30cm左右</t>
  </si>
  <si>
    <t>洁而亮</t>
  </si>
  <si>
    <t>600G</t>
  </si>
  <si>
    <t>除草剂</t>
  </si>
  <si>
    <t>双虎牌/100克/包</t>
  </si>
  <si>
    <t>合计</t>
  </si>
  <si>
    <t>供应商名称（章）：</t>
  </si>
  <si>
    <t>地址：</t>
  </si>
  <si>
    <t>联系人：</t>
  </si>
  <si>
    <t>联系电话：</t>
  </si>
  <si>
    <t>注：以上表格格式不可更改，如有与清单内容出入的可在后一列报价备注中更改注明，自行改动清单格式的报价做废处理。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</si>
</sst>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8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0" borderId="0" xfId="0" applyFill="1"/>
    <xf numFmtId="0" fontId="0" fillId="0" borderId="0" xfId="0" applyProtection="1"/>
    <xf numFmtId="0" fontId="0" fillId="0" borderId="0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/>
    <xf numFmtId="0" fontId="8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/>
    <xf numFmtId="0" fontId="0" fillId="0" borderId="2" xfId="0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9" Type="http://schemas.openxmlformats.org/officeDocument/2006/relationships/image" Target="media/image113.png"/><Relationship Id="rId98" Type="http://schemas.openxmlformats.org/officeDocument/2006/relationships/image" Target="media/image112.png"/><Relationship Id="rId97" Type="http://schemas.openxmlformats.org/officeDocument/2006/relationships/image" Target="media/image111.png"/><Relationship Id="rId96" Type="http://schemas.openxmlformats.org/officeDocument/2006/relationships/image" Target="media/image110.png"/><Relationship Id="rId95" Type="http://schemas.openxmlformats.org/officeDocument/2006/relationships/image" Target="media/image109.png"/><Relationship Id="rId94" Type="http://schemas.openxmlformats.org/officeDocument/2006/relationships/image" Target="media/image108.png"/><Relationship Id="rId93" Type="http://schemas.openxmlformats.org/officeDocument/2006/relationships/image" Target="media/image107.png"/><Relationship Id="rId92" Type="http://schemas.openxmlformats.org/officeDocument/2006/relationships/image" Target="media/image106.png"/><Relationship Id="rId91" Type="http://schemas.openxmlformats.org/officeDocument/2006/relationships/image" Target="media/image105.png"/><Relationship Id="rId90" Type="http://schemas.openxmlformats.org/officeDocument/2006/relationships/image" Target="media/image104.png"/><Relationship Id="rId9" Type="http://schemas.openxmlformats.org/officeDocument/2006/relationships/image" Target="media/image23.png"/><Relationship Id="rId89" Type="http://schemas.openxmlformats.org/officeDocument/2006/relationships/image" Target="media/image103.png"/><Relationship Id="rId88" Type="http://schemas.openxmlformats.org/officeDocument/2006/relationships/image" Target="media/image102.png"/><Relationship Id="rId87" Type="http://schemas.openxmlformats.org/officeDocument/2006/relationships/image" Target="media/image101.png"/><Relationship Id="rId86" Type="http://schemas.openxmlformats.org/officeDocument/2006/relationships/image" Target="media/image100.png"/><Relationship Id="rId85" Type="http://schemas.openxmlformats.org/officeDocument/2006/relationships/image" Target="media/image99.png"/><Relationship Id="rId84" Type="http://schemas.openxmlformats.org/officeDocument/2006/relationships/image" Target="media/image98.png"/><Relationship Id="rId83" Type="http://schemas.openxmlformats.org/officeDocument/2006/relationships/image" Target="media/image97.png"/><Relationship Id="rId82" Type="http://schemas.openxmlformats.org/officeDocument/2006/relationships/image" Target="media/image96.png"/><Relationship Id="rId81" Type="http://schemas.openxmlformats.org/officeDocument/2006/relationships/image" Target="media/image95.png"/><Relationship Id="rId80" Type="http://schemas.openxmlformats.org/officeDocument/2006/relationships/image" Target="media/image94.png"/><Relationship Id="rId8" Type="http://schemas.openxmlformats.org/officeDocument/2006/relationships/image" Target="media/image22.png"/><Relationship Id="rId79" Type="http://schemas.openxmlformats.org/officeDocument/2006/relationships/image" Target="media/image93.png"/><Relationship Id="rId78" Type="http://schemas.openxmlformats.org/officeDocument/2006/relationships/image" Target="media/image92.png"/><Relationship Id="rId77" Type="http://schemas.openxmlformats.org/officeDocument/2006/relationships/image" Target="media/image91.png"/><Relationship Id="rId76" Type="http://schemas.openxmlformats.org/officeDocument/2006/relationships/image" Target="media/image90.png"/><Relationship Id="rId75" Type="http://schemas.openxmlformats.org/officeDocument/2006/relationships/image" Target="media/image89.png"/><Relationship Id="rId74" Type="http://schemas.openxmlformats.org/officeDocument/2006/relationships/image" Target="media/image88.png"/><Relationship Id="rId73" Type="http://schemas.openxmlformats.org/officeDocument/2006/relationships/image" Target="media/image87.png"/><Relationship Id="rId72" Type="http://schemas.openxmlformats.org/officeDocument/2006/relationships/image" Target="media/image86.png"/><Relationship Id="rId71" Type="http://schemas.openxmlformats.org/officeDocument/2006/relationships/image" Target="media/image85.png"/><Relationship Id="rId70" Type="http://schemas.openxmlformats.org/officeDocument/2006/relationships/image" Target="media/image84.png"/><Relationship Id="rId7" Type="http://schemas.openxmlformats.org/officeDocument/2006/relationships/image" Target="media/image21.png"/><Relationship Id="rId69" Type="http://schemas.openxmlformats.org/officeDocument/2006/relationships/image" Target="media/image83.png"/><Relationship Id="rId68" Type="http://schemas.openxmlformats.org/officeDocument/2006/relationships/image" Target="media/image82.png"/><Relationship Id="rId67" Type="http://schemas.openxmlformats.org/officeDocument/2006/relationships/image" Target="media/image81.png"/><Relationship Id="rId66" Type="http://schemas.openxmlformats.org/officeDocument/2006/relationships/image" Target="media/image80.png"/><Relationship Id="rId65" Type="http://schemas.openxmlformats.org/officeDocument/2006/relationships/image" Target="media/image79.png"/><Relationship Id="rId64" Type="http://schemas.openxmlformats.org/officeDocument/2006/relationships/image" Target="media/image78.png"/><Relationship Id="rId63" Type="http://schemas.openxmlformats.org/officeDocument/2006/relationships/image" Target="media/image77.png"/><Relationship Id="rId62" Type="http://schemas.openxmlformats.org/officeDocument/2006/relationships/image" Target="media/image76.png"/><Relationship Id="rId61" Type="http://schemas.openxmlformats.org/officeDocument/2006/relationships/image" Target="media/image75.png"/><Relationship Id="rId60" Type="http://schemas.openxmlformats.org/officeDocument/2006/relationships/image" Target="media/image74.png"/><Relationship Id="rId6" Type="http://schemas.openxmlformats.org/officeDocument/2006/relationships/image" Target="media/image20.png"/><Relationship Id="rId59" Type="http://schemas.openxmlformats.org/officeDocument/2006/relationships/image" Target="media/image73.png"/><Relationship Id="rId58" Type="http://schemas.openxmlformats.org/officeDocument/2006/relationships/image" Target="media/image72.png"/><Relationship Id="rId57" Type="http://schemas.openxmlformats.org/officeDocument/2006/relationships/image" Target="media/image71.png"/><Relationship Id="rId56" Type="http://schemas.openxmlformats.org/officeDocument/2006/relationships/image" Target="media/image70.png"/><Relationship Id="rId55" Type="http://schemas.openxmlformats.org/officeDocument/2006/relationships/image" Target="media/image69.png"/><Relationship Id="rId54" Type="http://schemas.openxmlformats.org/officeDocument/2006/relationships/image" Target="media/image68.png"/><Relationship Id="rId53" Type="http://schemas.openxmlformats.org/officeDocument/2006/relationships/image" Target="media/image67.png"/><Relationship Id="rId52" Type="http://schemas.openxmlformats.org/officeDocument/2006/relationships/image" Target="media/image66.png"/><Relationship Id="rId51" Type="http://schemas.openxmlformats.org/officeDocument/2006/relationships/image" Target="media/image65.png"/><Relationship Id="rId50" Type="http://schemas.openxmlformats.org/officeDocument/2006/relationships/image" Target="media/image64.jpeg"/><Relationship Id="rId5" Type="http://schemas.openxmlformats.org/officeDocument/2006/relationships/image" Target="media/image19.png"/><Relationship Id="rId49" Type="http://schemas.openxmlformats.org/officeDocument/2006/relationships/image" Target="media/image63.png"/><Relationship Id="rId48" Type="http://schemas.openxmlformats.org/officeDocument/2006/relationships/image" Target="media/image62.png"/><Relationship Id="rId47" Type="http://schemas.openxmlformats.org/officeDocument/2006/relationships/image" Target="media/image61.png"/><Relationship Id="rId46" Type="http://schemas.openxmlformats.org/officeDocument/2006/relationships/image" Target="media/image60.png"/><Relationship Id="rId45" Type="http://schemas.openxmlformats.org/officeDocument/2006/relationships/image" Target="media/image59.png"/><Relationship Id="rId44" Type="http://schemas.openxmlformats.org/officeDocument/2006/relationships/image" Target="media/image58.png"/><Relationship Id="rId43" Type="http://schemas.openxmlformats.org/officeDocument/2006/relationships/image" Target="media/image57.png"/><Relationship Id="rId42" Type="http://schemas.openxmlformats.org/officeDocument/2006/relationships/image" Target="media/image56.png"/><Relationship Id="rId41" Type="http://schemas.openxmlformats.org/officeDocument/2006/relationships/image" Target="media/image55.png"/><Relationship Id="rId40" Type="http://schemas.openxmlformats.org/officeDocument/2006/relationships/image" Target="media/image54.png"/><Relationship Id="rId4" Type="http://schemas.openxmlformats.org/officeDocument/2006/relationships/image" Target="media/image18.png"/><Relationship Id="rId39" Type="http://schemas.openxmlformats.org/officeDocument/2006/relationships/image" Target="media/image53.png"/><Relationship Id="rId38" Type="http://schemas.openxmlformats.org/officeDocument/2006/relationships/image" Target="media/image52.png"/><Relationship Id="rId37" Type="http://schemas.openxmlformats.org/officeDocument/2006/relationships/image" Target="media/image51.png"/><Relationship Id="rId36" Type="http://schemas.openxmlformats.org/officeDocument/2006/relationships/image" Target="media/image50.png"/><Relationship Id="rId35" Type="http://schemas.openxmlformats.org/officeDocument/2006/relationships/image" Target="media/image49.png"/><Relationship Id="rId34" Type="http://schemas.openxmlformats.org/officeDocument/2006/relationships/image" Target="media/image48.png"/><Relationship Id="rId33" Type="http://schemas.openxmlformats.org/officeDocument/2006/relationships/image" Target="media/image47.png"/><Relationship Id="rId32" Type="http://schemas.openxmlformats.org/officeDocument/2006/relationships/image" Target="media/image46.png"/><Relationship Id="rId31" Type="http://schemas.openxmlformats.org/officeDocument/2006/relationships/image" Target="media/image45.png"/><Relationship Id="rId30" Type="http://schemas.openxmlformats.org/officeDocument/2006/relationships/image" Target="media/image44.png"/><Relationship Id="rId3" Type="http://schemas.openxmlformats.org/officeDocument/2006/relationships/image" Target="media/image17.png"/><Relationship Id="rId29" Type="http://schemas.openxmlformats.org/officeDocument/2006/relationships/image" Target="media/image43.png"/><Relationship Id="rId28" Type="http://schemas.openxmlformats.org/officeDocument/2006/relationships/image" Target="media/image42.png"/><Relationship Id="rId27" Type="http://schemas.openxmlformats.org/officeDocument/2006/relationships/image" Target="media/image41.png"/><Relationship Id="rId26" Type="http://schemas.openxmlformats.org/officeDocument/2006/relationships/image" Target="media/image40.png"/><Relationship Id="rId25" Type="http://schemas.openxmlformats.org/officeDocument/2006/relationships/image" Target="media/image39.png"/><Relationship Id="rId24" Type="http://schemas.openxmlformats.org/officeDocument/2006/relationships/image" Target="media/image38.png"/><Relationship Id="rId23" Type="http://schemas.openxmlformats.org/officeDocument/2006/relationships/image" Target="media/image37.png"/><Relationship Id="rId22" Type="http://schemas.openxmlformats.org/officeDocument/2006/relationships/image" Target="media/image36.png"/><Relationship Id="rId21" Type="http://schemas.openxmlformats.org/officeDocument/2006/relationships/image" Target="media/image35.png"/><Relationship Id="rId20" Type="http://schemas.openxmlformats.org/officeDocument/2006/relationships/image" Target="media/image34.png"/><Relationship Id="rId2" Type="http://schemas.openxmlformats.org/officeDocument/2006/relationships/image" Target="media/image16.png"/><Relationship Id="rId19" Type="http://schemas.openxmlformats.org/officeDocument/2006/relationships/image" Target="media/image33.png"/><Relationship Id="rId18" Type="http://schemas.openxmlformats.org/officeDocument/2006/relationships/image" Target="media/image32.png"/><Relationship Id="rId17" Type="http://schemas.openxmlformats.org/officeDocument/2006/relationships/image" Target="media/image31.png"/><Relationship Id="rId160" Type="http://schemas.openxmlformats.org/officeDocument/2006/relationships/image" Target="media/image174.png"/><Relationship Id="rId16" Type="http://schemas.openxmlformats.org/officeDocument/2006/relationships/image" Target="media/image30.png"/><Relationship Id="rId159" Type="http://schemas.openxmlformats.org/officeDocument/2006/relationships/image" Target="media/image173.png"/><Relationship Id="rId158" Type="http://schemas.openxmlformats.org/officeDocument/2006/relationships/image" Target="media/image172.png"/><Relationship Id="rId157" Type="http://schemas.openxmlformats.org/officeDocument/2006/relationships/image" Target="media/image171.png"/><Relationship Id="rId156" Type="http://schemas.openxmlformats.org/officeDocument/2006/relationships/image" Target="media/image170.png"/><Relationship Id="rId155" Type="http://schemas.openxmlformats.org/officeDocument/2006/relationships/image" Target="media/image169.png"/><Relationship Id="rId154" Type="http://schemas.openxmlformats.org/officeDocument/2006/relationships/image" Target="media/image168.jpeg"/><Relationship Id="rId153" Type="http://schemas.openxmlformats.org/officeDocument/2006/relationships/image" Target="media/image167.png"/><Relationship Id="rId152" Type="http://schemas.openxmlformats.org/officeDocument/2006/relationships/image" Target="media/image166.png"/><Relationship Id="rId151" Type="http://schemas.openxmlformats.org/officeDocument/2006/relationships/image" Target="media/image165.png"/><Relationship Id="rId150" Type="http://schemas.openxmlformats.org/officeDocument/2006/relationships/image" Target="media/image164.png"/><Relationship Id="rId15" Type="http://schemas.openxmlformats.org/officeDocument/2006/relationships/image" Target="media/image29.png"/><Relationship Id="rId149" Type="http://schemas.openxmlformats.org/officeDocument/2006/relationships/image" Target="media/image163.png"/><Relationship Id="rId148" Type="http://schemas.openxmlformats.org/officeDocument/2006/relationships/image" Target="media/image162.png"/><Relationship Id="rId147" Type="http://schemas.openxmlformats.org/officeDocument/2006/relationships/image" Target="media/image161.png"/><Relationship Id="rId146" Type="http://schemas.openxmlformats.org/officeDocument/2006/relationships/image" Target="media/image160.png"/><Relationship Id="rId145" Type="http://schemas.openxmlformats.org/officeDocument/2006/relationships/image" Target="media/image159.png"/><Relationship Id="rId144" Type="http://schemas.openxmlformats.org/officeDocument/2006/relationships/image" Target="media/image158.png"/><Relationship Id="rId143" Type="http://schemas.openxmlformats.org/officeDocument/2006/relationships/image" Target="media/image157.png"/><Relationship Id="rId142" Type="http://schemas.openxmlformats.org/officeDocument/2006/relationships/image" Target="media/image156.png"/><Relationship Id="rId141" Type="http://schemas.openxmlformats.org/officeDocument/2006/relationships/image" Target="media/image155.png"/><Relationship Id="rId140" Type="http://schemas.openxmlformats.org/officeDocument/2006/relationships/image" Target="media/image154.png"/><Relationship Id="rId14" Type="http://schemas.openxmlformats.org/officeDocument/2006/relationships/image" Target="media/image28.png"/><Relationship Id="rId139" Type="http://schemas.openxmlformats.org/officeDocument/2006/relationships/image" Target="media/image153.png"/><Relationship Id="rId138" Type="http://schemas.openxmlformats.org/officeDocument/2006/relationships/image" Target="media/image152.png"/><Relationship Id="rId137" Type="http://schemas.openxmlformats.org/officeDocument/2006/relationships/image" Target="media/image151.png"/><Relationship Id="rId136" Type="http://schemas.openxmlformats.org/officeDocument/2006/relationships/image" Target="media/image150.png"/><Relationship Id="rId135" Type="http://schemas.openxmlformats.org/officeDocument/2006/relationships/image" Target="media/image149.jpeg"/><Relationship Id="rId134" Type="http://schemas.openxmlformats.org/officeDocument/2006/relationships/image" Target="media/image148.png"/><Relationship Id="rId133" Type="http://schemas.openxmlformats.org/officeDocument/2006/relationships/image" Target="media/image147.png"/><Relationship Id="rId132" Type="http://schemas.openxmlformats.org/officeDocument/2006/relationships/image" Target="media/image146.png"/><Relationship Id="rId131" Type="http://schemas.openxmlformats.org/officeDocument/2006/relationships/image" Target="media/image145.png"/><Relationship Id="rId130" Type="http://schemas.openxmlformats.org/officeDocument/2006/relationships/image" Target="media/image144.png"/><Relationship Id="rId13" Type="http://schemas.openxmlformats.org/officeDocument/2006/relationships/image" Target="media/image27.png"/><Relationship Id="rId129" Type="http://schemas.openxmlformats.org/officeDocument/2006/relationships/image" Target="media/image143.png"/><Relationship Id="rId128" Type="http://schemas.openxmlformats.org/officeDocument/2006/relationships/image" Target="media/image142.png"/><Relationship Id="rId127" Type="http://schemas.openxmlformats.org/officeDocument/2006/relationships/image" Target="media/image141.png"/><Relationship Id="rId126" Type="http://schemas.openxmlformats.org/officeDocument/2006/relationships/image" Target="media/image140.png"/><Relationship Id="rId125" Type="http://schemas.openxmlformats.org/officeDocument/2006/relationships/image" Target="media/image139.png"/><Relationship Id="rId124" Type="http://schemas.openxmlformats.org/officeDocument/2006/relationships/image" Target="media/image138.png"/><Relationship Id="rId123" Type="http://schemas.openxmlformats.org/officeDocument/2006/relationships/image" Target="media/image137.png"/><Relationship Id="rId122" Type="http://schemas.openxmlformats.org/officeDocument/2006/relationships/image" Target="media/image136.png"/><Relationship Id="rId121" Type="http://schemas.openxmlformats.org/officeDocument/2006/relationships/image" Target="media/image135.png"/><Relationship Id="rId120" Type="http://schemas.openxmlformats.org/officeDocument/2006/relationships/image" Target="media/image134.png"/><Relationship Id="rId12" Type="http://schemas.openxmlformats.org/officeDocument/2006/relationships/image" Target="media/image26.png"/><Relationship Id="rId119" Type="http://schemas.openxmlformats.org/officeDocument/2006/relationships/image" Target="media/image133.png"/><Relationship Id="rId118" Type="http://schemas.openxmlformats.org/officeDocument/2006/relationships/image" Target="media/image132.png"/><Relationship Id="rId117" Type="http://schemas.openxmlformats.org/officeDocument/2006/relationships/image" Target="media/image131.png"/><Relationship Id="rId116" Type="http://schemas.openxmlformats.org/officeDocument/2006/relationships/image" Target="media/image130.png"/><Relationship Id="rId115" Type="http://schemas.openxmlformats.org/officeDocument/2006/relationships/image" Target="media/image129.png"/><Relationship Id="rId114" Type="http://schemas.openxmlformats.org/officeDocument/2006/relationships/image" Target="media/image128.png"/><Relationship Id="rId113" Type="http://schemas.openxmlformats.org/officeDocument/2006/relationships/image" Target="media/image127.png"/><Relationship Id="rId112" Type="http://schemas.openxmlformats.org/officeDocument/2006/relationships/image" Target="media/image126.png"/><Relationship Id="rId111" Type="http://schemas.openxmlformats.org/officeDocument/2006/relationships/image" Target="media/image125.png"/><Relationship Id="rId110" Type="http://schemas.openxmlformats.org/officeDocument/2006/relationships/image" Target="media/image124.png"/><Relationship Id="rId11" Type="http://schemas.openxmlformats.org/officeDocument/2006/relationships/image" Target="media/image25.png"/><Relationship Id="rId109" Type="http://schemas.openxmlformats.org/officeDocument/2006/relationships/image" Target="media/image123.png"/><Relationship Id="rId108" Type="http://schemas.openxmlformats.org/officeDocument/2006/relationships/image" Target="media/image122.png"/><Relationship Id="rId107" Type="http://schemas.openxmlformats.org/officeDocument/2006/relationships/image" Target="media/image121.png"/><Relationship Id="rId106" Type="http://schemas.openxmlformats.org/officeDocument/2006/relationships/image" Target="media/image120.png"/><Relationship Id="rId105" Type="http://schemas.openxmlformats.org/officeDocument/2006/relationships/image" Target="media/image119.png"/><Relationship Id="rId104" Type="http://schemas.openxmlformats.org/officeDocument/2006/relationships/image" Target="media/image118.png"/><Relationship Id="rId103" Type="http://schemas.openxmlformats.org/officeDocument/2006/relationships/image" Target="media/image117.png"/><Relationship Id="rId102" Type="http://schemas.openxmlformats.org/officeDocument/2006/relationships/image" Target="media/image116.png"/><Relationship Id="rId101" Type="http://schemas.openxmlformats.org/officeDocument/2006/relationships/image" Target="media/image115.png"/><Relationship Id="rId100" Type="http://schemas.openxmlformats.org/officeDocument/2006/relationships/image" Target="media/image114.png"/><Relationship Id="rId10" Type="http://schemas.openxmlformats.org/officeDocument/2006/relationships/image" Target="media/image24.png"/><Relationship Id="rId1" Type="http://schemas.openxmlformats.org/officeDocument/2006/relationships/image" Target="media/image15.pn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287655</xdr:colOff>
      <xdr:row>92</xdr:row>
      <xdr:rowOff>3175</xdr:rowOff>
    </xdr:from>
    <xdr:to>
      <xdr:col>9</xdr:col>
      <xdr:colOff>726440</xdr:colOff>
      <xdr:row>92</xdr:row>
      <xdr:rowOff>605155</xdr:rowOff>
    </xdr:to>
    <xdr:pic>
      <xdr:nvPicPr>
        <xdr:cNvPr id="189" name="图片 1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H="1">
          <a:off x="9807575" y="58137425"/>
          <a:ext cx="438785" cy="601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250190</xdr:colOff>
      <xdr:row>219</xdr:row>
      <xdr:rowOff>32385</xdr:rowOff>
    </xdr:from>
    <xdr:to>
      <xdr:col>9</xdr:col>
      <xdr:colOff>631190</xdr:colOff>
      <xdr:row>219</xdr:row>
      <xdr:rowOff>572135</xdr:rowOff>
    </xdr:to>
    <xdr:pic>
      <xdr:nvPicPr>
        <xdr:cNvPr id="190" name="图片 18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70110" y="138811635"/>
          <a:ext cx="38100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170180</xdr:colOff>
      <xdr:row>216</xdr:row>
      <xdr:rowOff>40005</xdr:rowOff>
    </xdr:from>
    <xdr:to>
      <xdr:col>9</xdr:col>
      <xdr:colOff>681355</xdr:colOff>
      <xdr:row>216</xdr:row>
      <xdr:rowOff>553085</xdr:rowOff>
    </xdr:to>
    <xdr:pic>
      <xdr:nvPicPr>
        <xdr:cNvPr id="191" name="图片 19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flipH="1">
          <a:off x="9690100" y="136914255"/>
          <a:ext cx="511175" cy="513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69215</xdr:colOff>
      <xdr:row>230</xdr:row>
      <xdr:rowOff>37465</xdr:rowOff>
    </xdr:from>
    <xdr:to>
      <xdr:col>9</xdr:col>
      <xdr:colOff>827405</xdr:colOff>
      <xdr:row>230</xdr:row>
      <xdr:rowOff>609600</xdr:rowOff>
    </xdr:to>
    <xdr:pic>
      <xdr:nvPicPr>
        <xdr:cNvPr id="192" name="图片 19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589135" y="145801715"/>
          <a:ext cx="75819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250190</xdr:colOff>
      <xdr:row>231</xdr:row>
      <xdr:rowOff>12700</xdr:rowOff>
    </xdr:from>
    <xdr:to>
      <xdr:col>9</xdr:col>
      <xdr:colOff>650875</xdr:colOff>
      <xdr:row>231</xdr:row>
      <xdr:rowOff>609600</xdr:rowOff>
    </xdr:to>
    <xdr:pic>
      <xdr:nvPicPr>
        <xdr:cNvPr id="193" name="图片 19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770110" y="146411950"/>
          <a:ext cx="400685" cy="596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231140</xdr:colOff>
      <xdr:row>188</xdr:row>
      <xdr:rowOff>27305</xdr:rowOff>
    </xdr:from>
    <xdr:to>
      <xdr:col>9</xdr:col>
      <xdr:colOff>702945</xdr:colOff>
      <xdr:row>188</xdr:row>
      <xdr:rowOff>552450</xdr:rowOff>
    </xdr:to>
    <xdr:pic>
      <xdr:nvPicPr>
        <xdr:cNvPr id="195" name="图片 19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751060" y="119121555"/>
          <a:ext cx="471805" cy="525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269240</xdr:colOff>
      <xdr:row>151</xdr:row>
      <xdr:rowOff>19050</xdr:rowOff>
    </xdr:from>
    <xdr:to>
      <xdr:col>9</xdr:col>
      <xdr:colOff>701040</xdr:colOff>
      <xdr:row>151</xdr:row>
      <xdr:rowOff>596900</xdr:rowOff>
    </xdr:to>
    <xdr:pic>
      <xdr:nvPicPr>
        <xdr:cNvPr id="196" name="图片 19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789160" y="95618300"/>
          <a:ext cx="431800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240665</xdr:colOff>
      <xdr:row>152</xdr:row>
      <xdr:rowOff>28575</xdr:rowOff>
    </xdr:from>
    <xdr:to>
      <xdr:col>9</xdr:col>
      <xdr:colOff>672465</xdr:colOff>
      <xdr:row>152</xdr:row>
      <xdr:rowOff>606425</xdr:rowOff>
    </xdr:to>
    <xdr:pic>
      <xdr:nvPicPr>
        <xdr:cNvPr id="197" name="图片 19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760585" y="96262825"/>
          <a:ext cx="431800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250190</xdr:colOff>
      <xdr:row>153</xdr:row>
      <xdr:rowOff>28575</xdr:rowOff>
    </xdr:from>
    <xdr:to>
      <xdr:col>9</xdr:col>
      <xdr:colOff>681990</xdr:colOff>
      <xdr:row>153</xdr:row>
      <xdr:rowOff>606425</xdr:rowOff>
    </xdr:to>
    <xdr:pic>
      <xdr:nvPicPr>
        <xdr:cNvPr id="198" name="图片 19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770110" y="96897825"/>
          <a:ext cx="431800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231140</xdr:colOff>
      <xdr:row>154</xdr:row>
      <xdr:rowOff>9525</xdr:rowOff>
    </xdr:from>
    <xdr:to>
      <xdr:col>9</xdr:col>
      <xdr:colOff>662940</xdr:colOff>
      <xdr:row>154</xdr:row>
      <xdr:rowOff>587375</xdr:rowOff>
    </xdr:to>
    <xdr:pic>
      <xdr:nvPicPr>
        <xdr:cNvPr id="199" name="图片 19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9751060" y="97513775"/>
          <a:ext cx="431800" cy="577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154940</xdr:colOff>
      <xdr:row>90</xdr:row>
      <xdr:rowOff>19050</xdr:rowOff>
    </xdr:from>
    <xdr:to>
      <xdr:col>9</xdr:col>
      <xdr:colOff>704215</xdr:colOff>
      <xdr:row>90</xdr:row>
      <xdr:rowOff>581025</xdr:rowOff>
    </xdr:to>
    <xdr:pic>
      <xdr:nvPicPr>
        <xdr:cNvPr id="200" name="图片 19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9674860" y="56883300"/>
          <a:ext cx="549275" cy="5619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203200</xdr:colOff>
      <xdr:row>45</xdr:row>
      <xdr:rowOff>18415</xdr:rowOff>
    </xdr:from>
    <xdr:to>
      <xdr:col>9</xdr:col>
      <xdr:colOff>721360</xdr:colOff>
      <xdr:row>45</xdr:row>
      <xdr:rowOff>611505</xdr:rowOff>
    </xdr:to>
    <xdr:pic>
      <xdr:nvPicPr>
        <xdr:cNvPr id="201" name="图片 200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 flipH="1">
          <a:off x="9723120" y="28307665"/>
          <a:ext cx="518160" cy="593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231140</xdr:colOff>
      <xdr:row>47</xdr:row>
      <xdr:rowOff>76200</xdr:rowOff>
    </xdr:from>
    <xdr:to>
      <xdr:col>9</xdr:col>
      <xdr:colOff>697865</xdr:colOff>
      <xdr:row>47</xdr:row>
      <xdr:rowOff>542290</xdr:rowOff>
    </xdr:to>
    <xdr:pic>
      <xdr:nvPicPr>
        <xdr:cNvPr id="202" name="图片 20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9751060" y="29635450"/>
          <a:ext cx="466725" cy="466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269240</xdr:colOff>
      <xdr:row>158</xdr:row>
      <xdr:rowOff>76200</xdr:rowOff>
    </xdr:from>
    <xdr:to>
      <xdr:col>9</xdr:col>
      <xdr:colOff>716915</xdr:colOff>
      <xdr:row>158</xdr:row>
      <xdr:rowOff>523875</xdr:rowOff>
    </xdr:to>
    <xdr:pic>
      <xdr:nvPicPr>
        <xdr:cNvPr id="203" name="图片 202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9789160" y="100120450"/>
          <a:ext cx="447675" cy="447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74295</xdr:colOff>
      <xdr:row>221</xdr:row>
      <xdr:rowOff>67310</xdr:rowOff>
    </xdr:from>
    <xdr:to>
      <xdr:col>9</xdr:col>
      <xdr:colOff>826135</xdr:colOff>
      <xdr:row>221</xdr:row>
      <xdr:rowOff>533400</xdr:rowOff>
    </xdr:to>
    <xdr:pic>
      <xdr:nvPicPr>
        <xdr:cNvPr id="204" name="图片 20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 flipH="1">
          <a:off x="9594215" y="140116560"/>
          <a:ext cx="751840" cy="466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78740</xdr:colOff>
      <xdr:row>222</xdr:row>
      <xdr:rowOff>66675</xdr:rowOff>
    </xdr:from>
    <xdr:to>
      <xdr:col>9</xdr:col>
      <xdr:colOff>830580</xdr:colOff>
      <xdr:row>222</xdr:row>
      <xdr:rowOff>532765</xdr:rowOff>
    </xdr:to>
    <xdr:pic>
      <xdr:nvPicPr>
        <xdr:cNvPr id="205" name="图片 204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 flipH="1">
          <a:off x="9598660" y="140750925"/>
          <a:ext cx="751840" cy="466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69215</xdr:colOff>
      <xdr:row>223</xdr:row>
      <xdr:rowOff>47625</xdr:rowOff>
    </xdr:from>
    <xdr:to>
      <xdr:col>9</xdr:col>
      <xdr:colOff>821055</xdr:colOff>
      <xdr:row>223</xdr:row>
      <xdr:rowOff>513715</xdr:rowOff>
    </xdr:to>
    <xdr:pic>
      <xdr:nvPicPr>
        <xdr:cNvPr id="206" name="图片 205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 flipH="1">
          <a:off x="9589135" y="141366875"/>
          <a:ext cx="751840" cy="466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59690</xdr:colOff>
      <xdr:row>220</xdr:row>
      <xdr:rowOff>76200</xdr:rowOff>
    </xdr:from>
    <xdr:to>
      <xdr:col>9</xdr:col>
      <xdr:colOff>811530</xdr:colOff>
      <xdr:row>220</xdr:row>
      <xdr:rowOff>542290</xdr:rowOff>
    </xdr:to>
    <xdr:pic>
      <xdr:nvPicPr>
        <xdr:cNvPr id="207" name="图片 206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 flipH="1">
          <a:off x="9579610" y="139490450"/>
          <a:ext cx="751840" cy="466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159702</xdr:colOff>
      <xdr:row>21</xdr:row>
      <xdr:rowOff>197167</xdr:rowOff>
    </xdr:from>
    <xdr:to>
      <xdr:col>9</xdr:col>
      <xdr:colOff>654367</xdr:colOff>
      <xdr:row>21</xdr:row>
      <xdr:rowOff>463867</xdr:rowOff>
    </xdr:to>
    <xdr:pic>
      <xdr:nvPicPr>
        <xdr:cNvPr id="216" name="图片 215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 rot="5220000">
          <a:off x="9792970" y="13131800"/>
          <a:ext cx="266700" cy="494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7"/>
  <sheetViews>
    <sheetView tabSelected="1" topLeftCell="A94" workbookViewId="0">
      <selection activeCell="M98" sqref="M98"/>
    </sheetView>
  </sheetViews>
  <sheetFormatPr defaultColWidth="9" defaultRowHeight="13.5"/>
  <cols>
    <col min="1" max="1" width="23.75" customWidth="1"/>
    <col min="2" max="2" width="19.75" style="1" customWidth="1"/>
    <col min="3" max="3" width="0.25" hidden="1" customWidth="1"/>
    <col min="4" max="4" width="16.875" customWidth="1"/>
    <col min="5" max="5" width="7.725" customWidth="1"/>
    <col min="6" max="6" width="11.0916666666667" customWidth="1"/>
    <col min="7" max="7" width="18.75" style="2" customWidth="1"/>
    <col min="8" max="8" width="14.625" style="3" customWidth="1"/>
    <col min="9" max="9" width="12.3666666666667" style="4" customWidth="1"/>
    <col min="10" max="10" width="15" customWidth="1"/>
    <col min="11" max="11" width="11.725" customWidth="1"/>
    <col min="12" max="12" width="12.3666666666667" hidden="1" customWidth="1"/>
    <col min="13" max="13" width="15" customWidth="1"/>
  </cols>
  <sheetData>
    <row r="1" ht="24" customHeight="1" spans="1:13">
      <c r="A1" s="5" t="s">
        <v>0</v>
      </c>
      <c r="B1" s="6"/>
      <c r="C1" s="5"/>
      <c r="D1" s="5"/>
      <c r="E1" s="5"/>
      <c r="F1" s="5"/>
      <c r="G1" s="5"/>
      <c r="H1" s="7"/>
      <c r="I1" s="31"/>
      <c r="J1" s="5"/>
      <c r="K1" s="5"/>
      <c r="L1" s="5"/>
      <c r="M1" s="31"/>
    </row>
    <row r="2" ht="36" customHeight="1" spans="1:13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32"/>
    </row>
    <row r="3" ht="67.5" spans="1:13">
      <c r="A3" s="11" t="s">
        <v>2</v>
      </c>
      <c r="B3" s="12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5" t="s">
        <v>8</v>
      </c>
      <c r="H3" s="16" t="s">
        <v>9</v>
      </c>
      <c r="I3" s="33" t="s">
        <v>10</v>
      </c>
      <c r="J3" s="13" t="s">
        <v>11</v>
      </c>
      <c r="K3" s="13" t="s">
        <v>12</v>
      </c>
      <c r="L3" s="13" t="s">
        <v>13</v>
      </c>
      <c r="M3" s="34" t="s">
        <v>14</v>
      </c>
    </row>
    <row r="4" ht="50" customHeight="1" spans="1:13">
      <c r="A4" s="17">
        <f>ROW()-3</f>
        <v>1</v>
      </c>
      <c r="B4" s="18" t="s">
        <v>15</v>
      </c>
      <c r="C4" s="19" t="s">
        <v>16</v>
      </c>
      <c r="D4" s="20" t="s">
        <v>17</v>
      </c>
      <c r="E4" s="19" t="s">
        <v>18</v>
      </c>
      <c r="F4" s="19">
        <v>10</v>
      </c>
      <c r="G4" s="21">
        <v>9.3</v>
      </c>
      <c r="H4" s="22"/>
      <c r="I4" s="35"/>
      <c r="J4" s="36" t="str">
        <f>_xlfn.DISPIMG("ID_801E609BBA494F2E87771C7F3490D91E",1)</f>
        <v>=DISPIMG("ID_801E609BBA494F2E87771C7F3490D91E",1)</v>
      </c>
      <c r="K4" s="36"/>
      <c r="L4" s="36"/>
      <c r="M4" s="37"/>
    </row>
    <row r="5" ht="50" customHeight="1" spans="1:13">
      <c r="A5" s="17">
        <f t="shared" ref="A5:A14" si="0">ROW()-3</f>
        <v>2</v>
      </c>
      <c r="B5" s="18" t="s">
        <v>15</v>
      </c>
      <c r="C5" s="23" t="s">
        <v>16</v>
      </c>
      <c r="D5" s="20" t="s">
        <v>19</v>
      </c>
      <c r="E5" s="19" t="s">
        <v>18</v>
      </c>
      <c r="F5" s="17">
        <v>15</v>
      </c>
      <c r="G5" s="21">
        <v>13.8</v>
      </c>
      <c r="H5" s="22"/>
      <c r="I5" s="35"/>
      <c r="J5" s="36" t="str">
        <f>_xlfn.DISPIMG("ID_8ECC41ADF88540838E67C922A27582B7",1)</f>
        <v>=DISPIMG("ID_8ECC41ADF88540838E67C922A27582B7",1)</v>
      </c>
      <c r="K5" s="36"/>
      <c r="L5" s="36"/>
      <c r="M5" s="37"/>
    </row>
    <row r="6" ht="50" customHeight="1" spans="1:13">
      <c r="A6" s="17">
        <f t="shared" si="0"/>
        <v>3</v>
      </c>
      <c r="B6" s="18" t="s">
        <v>20</v>
      </c>
      <c r="C6" s="19" t="s">
        <v>16</v>
      </c>
      <c r="D6" s="20" t="s">
        <v>21</v>
      </c>
      <c r="E6" s="19" t="s">
        <v>22</v>
      </c>
      <c r="F6" s="19">
        <v>10</v>
      </c>
      <c r="G6" s="21">
        <v>133</v>
      </c>
      <c r="H6" s="22"/>
      <c r="I6" s="35"/>
      <c r="J6" s="36" t="str">
        <f>_xlfn.DISPIMG("ID_64458ED9E0D6432580C4A5FD473D19E9",1)</f>
        <v>=DISPIMG("ID_64458ED9E0D6432580C4A5FD473D19E9",1)</v>
      </c>
      <c r="K6" s="36"/>
      <c r="L6" s="36"/>
      <c r="M6" s="37"/>
    </row>
    <row r="7" ht="50" customHeight="1" spans="1:13">
      <c r="A7" s="17">
        <f t="shared" si="0"/>
        <v>4</v>
      </c>
      <c r="B7" s="18" t="s">
        <v>23</v>
      </c>
      <c r="C7" s="23" t="s">
        <v>16</v>
      </c>
      <c r="D7" s="20" t="s">
        <v>24</v>
      </c>
      <c r="E7" s="19" t="s">
        <v>18</v>
      </c>
      <c r="F7" s="17">
        <v>450</v>
      </c>
      <c r="G7" s="21">
        <v>14</v>
      </c>
      <c r="H7" s="22"/>
      <c r="I7" s="35"/>
      <c r="J7" s="36" t="str">
        <f>_xlfn.DISPIMG("ID_6992219196614CF18A845A01954C7A3C",1)</f>
        <v>=DISPIMG("ID_6992219196614CF18A845A01954C7A3C",1)</v>
      </c>
      <c r="K7" s="36"/>
      <c r="L7" s="36"/>
      <c r="M7" s="37"/>
    </row>
    <row r="8" ht="50" customHeight="1" spans="1:13">
      <c r="A8" s="17">
        <f t="shared" si="0"/>
        <v>5</v>
      </c>
      <c r="B8" s="18" t="s">
        <v>25</v>
      </c>
      <c r="C8" s="23" t="s">
        <v>26</v>
      </c>
      <c r="D8" s="24" t="s">
        <v>27</v>
      </c>
      <c r="E8" s="17" t="s">
        <v>28</v>
      </c>
      <c r="F8" s="17">
        <v>5</v>
      </c>
      <c r="G8" s="21">
        <v>11</v>
      </c>
      <c r="H8" s="22"/>
      <c r="I8" s="35"/>
      <c r="J8" s="36"/>
      <c r="K8" s="36"/>
      <c r="L8" s="36"/>
      <c r="M8" s="37"/>
    </row>
    <row r="9" ht="50" customHeight="1" spans="1:13">
      <c r="A9" s="17">
        <f t="shared" si="0"/>
        <v>6</v>
      </c>
      <c r="B9" s="18" t="s">
        <v>29</v>
      </c>
      <c r="C9" s="23" t="s">
        <v>26</v>
      </c>
      <c r="D9" s="20" t="s">
        <v>30</v>
      </c>
      <c r="E9" s="19" t="s">
        <v>31</v>
      </c>
      <c r="F9" s="19">
        <v>5</v>
      </c>
      <c r="G9" s="21">
        <v>1.8</v>
      </c>
      <c r="H9" s="22"/>
      <c r="I9" s="35"/>
      <c r="J9" s="36"/>
      <c r="K9" s="36"/>
      <c r="L9" s="36"/>
      <c r="M9" s="37"/>
    </row>
    <row r="10" ht="50" customHeight="1" spans="1:13">
      <c r="A10" s="17">
        <f t="shared" si="0"/>
        <v>7</v>
      </c>
      <c r="B10" s="18" t="s">
        <v>32</v>
      </c>
      <c r="C10" s="23" t="s">
        <v>26</v>
      </c>
      <c r="D10" s="20" t="s">
        <v>33</v>
      </c>
      <c r="E10" s="19" t="s">
        <v>31</v>
      </c>
      <c r="F10" s="19">
        <v>10</v>
      </c>
      <c r="G10" s="21">
        <v>3.5</v>
      </c>
      <c r="H10" s="22"/>
      <c r="I10" s="35"/>
      <c r="J10" s="36"/>
      <c r="K10" s="36"/>
      <c r="L10" s="36"/>
      <c r="M10" s="37"/>
    </row>
    <row r="11" ht="50" customHeight="1" spans="1:13">
      <c r="A11" s="17">
        <f t="shared" si="0"/>
        <v>8</v>
      </c>
      <c r="B11" s="18" t="s">
        <v>32</v>
      </c>
      <c r="C11" s="23" t="s">
        <v>26</v>
      </c>
      <c r="D11" s="20" t="s">
        <v>34</v>
      </c>
      <c r="E11" s="19" t="s">
        <v>31</v>
      </c>
      <c r="F11" s="19">
        <v>10</v>
      </c>
      <c r="G11" s="21">
        <v>2.3</v>
      </c>
      <c r="H11" s="22"/>
      <c r="I11" s="35"/>
      <c r="J11" s="36"/>
      <c r="K11" s="36"/>
      <c r="L11" s="36"/>
      <c r="M11" s="37"/>
    </row>
    <row r="12" ht="50" customHeight="1" spans="1:13">
      <c r="A12" s="17">
        <f t="shared" si="0"/>
        <v>9</v>
      </c>
      <c r="B12" s="18" t="s">
        <v>35</v>
      </c>
      <c r="C12" s="19" t="s">
        <v>35</v>
      </c>
      <c r="D12" s="20" t="s">
        <v>36</v>
      </c>
      <c r="E12" s="19" t="s">
        <v>31</v>
      </c>
      <c r="F12" s="19">
        <v>10</v>
      </c>
      <c r="G12" s="25">
        <v>19</v>
      </c>
      <c r="H12" s="22"/>
      <c r="I12" s="35"/>
      <c r="J12" s="38" t="str">
        <f>_xlfn.DISPIMG("ID_70806C786F464C198A7D795FC30DCE53",1)</f>
        <v>=DISPIMG("ID_70806C786F464C198A7D795FC30DCE53",1)</v>
      </c>
      <c r="K12" s="38"/>
      <c r="L12" s="38"/>
      <c r="M12" s="37"/>
    </row>
    <row r="13" ht="50" customHeight="1" spans="1:13">
      <c r="A13" s="17">
        <f t="shared" si="0"/>
        <v>10</v>
      </c>
      <c r="B13" s="18" t="s">
        <v>37</v>
      </c>
      <c r="C13" s="23" t="s">
        <v>35</v>
      </c>
      <c r="D13" s="20" t="s">
        <v>38</v>
      </c>
      <c r="E13" s="19" t="s">
        <v>31</v>
      </c>
      <c r="F13" s="19">
        <v>100</v>
      </c>
      <c r="G13" s="25">
        <v>2</v>
      </c>
      <c r="H13" s="22"/>
      <c r="I13" s="35"/>
      <c r="J13" s="38" t="str">
        <f>_xlfn.DISPIMG("ID_3D39FF0AC37F46878583938C1C2C8793",1)</f>
        <v>=DISPIMG("ID_3D39FF0AC37F46878583938C1C2C8793",1)</v>
      </c>
      <c r="K13" s="38"/>
      <c r="L13" s="38"/>
      <c r="M13" s="37"/>
    </row>
    <row r="14" ht="50" customHeight="1" spans="1:13">
      <c r="A14" s="17">
        <f t="shared" si="0"/>
        <v>11</v>
      </c>
      <c r="B14" s="18" t="s">
        <v>39</v>
      </c>
      <c r="C14" s="19" t="s">
        <v>40</v>
      </c>
      <c r="D14" s="20" t="s">
        <v>41</v>
      </c>
      <c r="E14" s="19" t="s">
        <v>42</v>
      </c>
      <c r="F14" s="19">
        <v>10</v>
      </c>
      <c r="G14" s="25">
        <v>7.2</v>
      </c>
      <c r="H14" s="22"/>
      <c r="I14" s="35"/>
      <c r="J14" s="38" t="str">
        <f>_xlfn.DISPIMG("ID_5A2574A3E6F44630A75E79C7DDD00678",1)</f>
        <v>=DISPIMG("ID_5A2574A3E6F44630A75E79C7DDD00678",1)</v>
      </c>
      <c r="K14" s="39" t="s">
        <v>43</v>
      </c>
      <c r="L14" s="39" t="s">
        <v>43</v>
      </c>
      <c r="M14" s="37"/>
    </row>
    <row r="15" ht="50" customHeight="1" spans="1:13">
      <c r="A15" s="17">
        <f t="shared" ref="A15:A24" si="1">ROW()-3</f>
        <v>12</v>
      </c>
      <c r="B15" s="18" t="s">
        <v>39</v>
      </c>
      <c r="C15" s="23" t="s">
        <v>40</v>
      </c>
      <c r="D15" s="20" t="s">
        <v>44</v>
      </c>
      <c r="E15" s="19" t="s">
        <v>42</v>
      </c>
      <c r="F15" s="19">
        <v>170</v>
      </c>
      <c r="G15" s="25">
        <v>7.2</v>
      </c>
      <c r="H15" s="22"/>
      <c r="I15" s="35"/>
      <c r="J15" s="38" t="str">
        <f>_xlfn.DISPIMG("ID_CC101E5F82D94A53A446210F2D29C151",1)</f>
        <v>=DISPIMG("ID_CC101E5F82D94A53A446210F2D29C151",1)</v>
      </c>
      <c r="K15" s="38"/>
      <c r="L15" s="38"/>
      <c r="M15" s="37"/>
    </row>
    <row r="16" ht="50" customHeight="1" spans="1:13">
      <c r="A16" s="17">
        <f t="shared" si="1"/>
        <v>13</v>
      </c>
      <c r="B16" s="18" t="s">
        <v>39</v>
      </c>
      <c r="C16" s="23" t="s">
        <v>40</v>
      </c>
      <c r="D16" s="20" t="s">
        <v>45</v>
      </c>
      <c r="E16" s="19" t="s">
        <v>42</v>
      </c>
      <c r="F16" s="19">
        <v>500</v>
      </c>
      <c r="G16" s="25">
        <v>7.2</v>
      </c>
      <c r="H16" s="22"/>
      <c r="I16" s="35"/>
      <c r="J16" s="38" t="str">
        <f>_xlfn.DISPIMG("ID_7F7B6ED833774016AD60B0EAA4D9F25A",1)</f>
        <v>=DISPIMG("ID_7F7B6ED833774016AD60B0EAA4D9F25A",1)</v>
      </c>
      <c r="K16" s="38"/>
      <c r="L16" s="38"/>
      <c r="M16" s="37"/>
    </row>
    <row r="17" ht="50" customHeight="1" spans="1:13">
      <c r="A17" s="17">
        <f t="shared" si="1"/>
        <v>14</v>
      </c>
      <c r="B17" s="18" t="s">
        <v>46</v>
      </c>
      <c r="C17" s="19" t="s">
        <v>40</v>
      </c>
      <c r="D17" s="20" t="s">
        <v>47</v>
      </c>
      <c r="E17" s="19" t="s">
        <v>42</v>
      </c>
      <c r="F17" s="19">
        <v>10</v>
      </c>
      <c r="G17" s="25">
        <v>5</v>
      </c>
      <c r="H17" s="22"/>
      <c r="I17" s="35"/>
      <c r="J17" s="38" t="str">
        <f>_xlfn.DISPIMG("ID_D1B432DB7BF449E5B73030CCD1810D49",1)</f>
        <v>=DISPIMG("ID_D1B432DB7BF449E5B73030CCD1810D49",1)</v>
      </c>
      <c r="K17" s="38"/>
      <c r="L17" s="38"/>
      <c r="M17" s="37"/>
    </row>
    <row r="18" ht="50" customHeight="1" spans="1:13">
      <c r="A18" s="17">
        <f t="shared" si="1"/>
        <v>15</v>
      </c>
      <c r="B18" s="18" t="s">
        <v>48</v>
      </c>
      <c r="C18" s="19" t="s">
        <v>40</v>
      </c>
      <c r="D18" s="20"/>
      <c r="E18" s="19" t="s">
        <v>49</v>
      </c>
      <c r="F18" s="19">
        <v>10</v>
      </c>
      <c r="G18" s="21">
        <v>38.7</v>
      </c>
      <c r="H18" s="22"/>
      <c r="I18" s="35"/>
      <c r="J18" s="36" t="str">
        <f>_xlfn.DISPIMG("ID_A8D72984197347A1AF42D32B0AB326F9",1)</f>
        <v>=DISPIMG("ID_A8D72984197347A1AF42D32B0AB326F9",1)</v>
      </c>
      <c r="K18" s="39" t="s">
        <v>43</v>
      </c>
      <c r="L18" s="39" t="s">
        <v>43</v>
      </c>
      <c r="M18" s="37"/>
    </row>
    <row r="19" ht="50" customHeight="1" spans="1:13">
      <c r="A19" s="17">
        <f t="shared" si="1"/>
        <v>16</v>
      </c>
      <c r="B19" s="18" t="s">
        <v>50</v>
      </c>
      <c r="C19" s="19" t="s">
        <v>40</v>
      </c>
      <c r="D19" s="20"/>
      <c r="E19" s="19" t="s">
        <v>51</v>
      </c>
      <c r="F19" s="19">
        <v>10</v>
      </c>
      <c r="G19" s="21">
        <v>18</v>
      </c>
      <c r="H19" s="22"/>
      <c r="I19" s="35"/>
      <c r="J19" s="36" t="str">
        <f>_xlfn.DISPIMG("ID_19608776E87643E78648AE022D747175",1)</f>
        <v>=DISPIMG("ID_19608776E87643E78648AE022D747175",1)</v>
      </c>
      <c r="K19" s="39" t="s">
        <v>43</v>
      </c>
      <c r="L19" s="36"/>
      <c r="M19" s="37"/>
    </row>
    <row r="20" ht="50" customHeight="1" spans="1:13">
      <c r="A20" s="17">
        <f t="shared" si="1"/>
        <v>17</v>
      </c>
      <c r="B20" s="18" t="s">
        <v>52</v>
      </c>
      <c r="C20" s="23" t="s">
        <v>40</v>
      </c>
      <c r="D20" s="20" t="s">
        <v>53</v>
      </c>
      <c r="E20" s="19" t="s">
        <v>51</v>
      </c>
      <c r="F20" s="19">
        <v>5</v>
      </c>
      <c r="G20" s="25">
        <v>16</v>
      </c>
      <c r="H20" s="22"/>
      <c r="I20" s="35"/>
      <c r="J20" s="38" t="str">
        <f>_xlfn.DISPIMG("ID_6D570F0908124201B3419A08ED5BF591",1)</f>
        <v>=DISPIMG("ID_6D570F0908124201B3419A08ED5BF591",1)</v>
      </c>
      <c r="K20" s="38"/>
      <c r="L20" s="38"/>
      <c r="M20" s="37"/>
    </row>
    <row r="21" ht="50" customHeight="1" spans="1:13">
      <c r="A21" s="17">
        <f t="shared" si="1"/>
        <v>18</v>
      </c>
      <c r="B21" s="18" t="s">
        <v>54</v>
      </c>
      <c r="C21" s="19" t="s">
        <v>40</v>
      </c>
      <c r="D21" s="20" t="s">
        <v>55</v>
      </c>
      <c r="E21" s="19" t="s">
        <v>49</v>
      </c>
      <c r="F21" s="19">
        <v>10</v>
      </c>
      <c r="G21" s="25">
        <v>29</v>
      </c>
      <c r="H21" s="22"/>
      <c r="I21" s="35"/>
      <c r="J21" s="38" t="str">
        <f>_xlfn.DISPIMG("ID_EC975C699E974DDEB247C5E4D80F68DF",1)</f>
        <v>=DISPIMG("ID_EC975C699E974DDEB247C5E4D80F68DF",1)</v>
      </c>
      <c r="K21" s="38"/>
      <c r="L21" s="38"/>
      <c r="M21" s="37"/>
    </row>
    <row r="22" ht="50" customHeight="1" spans="1:13">
      <c r="A22" s="17">
        <f t="shared" si="1"/>
        <v>19</v>
      </c>
      <c r="B22" s="18" t="s">
        <v>56</v>
      </c>
      <c r="C22" s="19" t="s">
        <v>40</v>
      </c>
      <c r="D22" s="20" t="s">
        <v>57</v>
      </c>
      <c r="E22" s="19" t="s">
        <v>51</v>
      </c>
      <c r="F22" s="19">
        <v>10</v>
      </c>
      <c r="G22" s="25">
        <v>16.5</v>
      </c>
      <c r="H22" s="22"/>
      <c r="I22" s="35"/>
      <c r="J22" s="38"/>
      <c r="K22" s="39" t="s">
        <v>43</v>
      </c>
      <c r="L22" s="39" t="s">
        <v>43</v>
      </c>
      <c r="M22" s="37"/>
    </row>
    <row r="23" ht="50" customHeight="1" spans="1:13">
      <c r="A23" s="17">
        <f t="shared" si="1"/>
        <v>20</v>
      </c>
      <c r="B23" s="18" t="s">
        <v>56</v>
      </c>
      <c r="C23" s="19" t="s">
        <v>40</v>
      </c>
      <c r="D23" s="20" t="s">
        <v>58</v>
      </c>
      <c r="E23" s="19" t="s">
        <v>42</v>
      </c>
      <c r="F23" s="19">
        <v>10</v>
      </c>
      <c r="G23" s="21">
        <v>19.5</v>
      </c>
      <c r="H23" s="22"/>
      <c r="I23" s="35"/>
      <c r="J23" s="36" t="str">
        <f>_xlfn.DISPIMG("ID_884616DCAFCA4DB394B2590B9AFD9C83",1)</f>
        <v>=DISPIMG("ID_884616DCAFCA4DB394B2590B9AFD9C83",1)</v>
      </c>
      <c r="K23" s="39" t="s">
        <v>43</v>
      </c>
      <c r="L23" s="36"/>
      <c r="M23" s="37"/>
    </row>
    <row r="24" ht="50" customHeight="1" spans="1:13">
      <c r="A24" s="17">
        <f t="shared" si="1"/>
        <v>21</v>
      </c>
      <c r="B24" s="18" t="s">
        <v>59</v>
      </c>
      <c r="C24" s="19" t="s">
        <v>40</v>
      </c>
      <c r="D24" s="20" t="s">
        <v>60</v>
      </c>
      <c r="E24" s="19" t="s">
        <v>42</v>
      </c>
      <c r="F24" s="19">
        <v>10</v>
      </c>
      <c r="G24" s="25">
        <v>6.8</v>
      </c>
      <c r="H24" s="22"/>
      <c r="I24" s="35"/>
      <c r="J24" s="40" t="str">
        <f>_xlfn.DISPIMG("ID_FF282777F6BF43D5BFC1548D582EB689",1)</f>
        <v>=DISPIMG("ID_FF282777F6BF43D5BFC1548D582EB689",1)</v>
      </c>
      <c r="K24" s="40"/>
      <c r="L24" s="38"/>
      <c r="M24" s="37"/>
    </row>
    <row r="25" ht="50" customHeight="1" spans="1:13">
      <c r="A25" s="17">
        <f t="shared" ref="A25:A34" si="2">ROW()-3</f>
        <v>22</v>
      </c>
      <c r="B25" s="18" t="s">
        <v>59</v>
      </c>
      <c r="C25" s="19" t="s">
        <v>40</v>
      </c>
      <c r="D25" s="20" t="s">
        <v>61</v>
      </c>
      <c r="E25" s="19" t="s">
        <v>42</v>
      </c>
      <c r="F25" s="19">
        <v>10</v>
      </c>
      <c r="G25" s="25">
        <v>12.5</v>
      </c>
      <c r="H25" s="22"/>
      <c r="I25" s="35"/>
      <c r="J25" s="40" t="str">
        <f>_xlfn.DISPIMG("ID_FF282777F6BF43D5BFC1548D582EB689",1)</f>
        <v>=DISPIMG("ID_FF282777F6BF43D5BFC1548D582EB689",1)</v>
      </c>
      <c r="K25" s="40"/>
      <c r="L25" s="38"/>
      <c r="M25" s="37"/>
    </row>
    <row r="26" ht="50" customHeight="1" spans="1:13">
      <c r="A26" s="17">
        <f t="shared" si="2"/>
        <v>23</v>
      </c>
      <c r="B26" s="18" t="s">
        <v>59</v>
      </c>
      <c r="C26" s="23" t="s">
        <v>40</v>
      </c>
      <c r="D26" s="20" t="s">
        <v>62</v>
      </c>
      <c r="E26" s="19" t="s">
        <v>42</v>
      </c>
      <c r="F26" s="19">
        <v>340</v>
      </c>
      <c r="G26" s="25">
        <v>17</v>
      </c>
      <c r="H26" s="22"/>
      <c r="I26" s="35"/>
      <c r="J26" s="40" t="str">
        <f>_xlfn.DISPIMG("ID_FF282777F6BF43D5BFC1548D582EB689",1)</f>
        <v>=DISPIMG("ID_FF282777F6BF43D5BFC1548D582EB689",1)</v>
      </c>
      <c r="K26" s="40"/>
      <c r="L26" s="38"/>
      <c r="M26" s="37"/>
    </row>
    <row r="27" ht="50" customHeight="1" spans="1:13">
      <c r="A27" s="17">
        <f t="shared" si="2"/>
        <v>24</v>
      </c>
      <c r="B27" s="18" t="s">
        <v>59</v>
      </c>
      <c r="C27" s="23" t="s">
        <v>40</v>
      </c>
      <c r="D27" s="20" t="s">
        <v>63</v>
      </c>
      <c r="E27" s="19" t="s">
        <v>42</v>
      </c>
      <c r="F27" s="19">
        <v>340</v>
      </c>
      <c r="G27" s="25">
        <v>12</v>
      </c>
      <c r="H27" s="22"/>
      <c r="I27" s="35"/>
      <c r="J27" s="40" t="str">
        <f>_xlfn.DISPIMG("ID_FF282777F6BF43D5BFC1548D582EB689",1)</f>
        <v>=DISPIMG("ID_FF282777F6BF43D5BFC1548D582EB689",1)</v>
      </c>
      <c r="K27" s="39" t="s">
        <v>43</v>
      </c>
      <c r="L27" s="39" t="s">
        <v>43</v>
      </c>
      <c r="M27" s="37"/>
    </row>
    <row r="28" ht="50" customHeight="1" spans="1:13">
      <c r="A28" s="17">
        <f t="shared" si="2"/>
        <v>25</v>
      </c>
      <c r="B28" s="18" t="s">
        <v>59</v>
      </c>
      <c r="C28" s="23" t="s">
        <v>40</v>
      </c>
      <c r="D28" s="20" t="s">
        <v>64</v>
      </c>
      <c r="E28" s="19" t="s">
        <v>42</v>
      </c>
      <c r="F28" s="19">
        <v>80</v>
      </c>
      <c r="G28" s="25">
        <v>25</v>
      </c>
      <c r="H28" s="22"/>
      <c r="I28" s="35"/>
      <c r="J28" s="40" t="str">
        <f>_xlfn.DISPIMG("ID_FF282777F6BF43D5BFC1548D582EB689",1)</f>
        <v>=DISPIMG("ID_FF282777F6BF43D5BFC1548D582EB689",1)</v>
      </c>
      <c r="K28" s="40"/>
      <c r="L28" s="38"/>
      <c r="M28" s="37"/>
    </row>
    <row r="29" ht="50" customHeight="1" spans="1:13">
      <c r="A29" s="17">
        <f t="shared" si="2"/>
        <v>26</v>
      </c>
      <c r="B29" s="18" t="s">
        <v>65</v>
      </c>
      <c r="C29" s="19" t="s">
        <v>40</v>
      </c>
      <c r="D29" s="20"/>
      <c r="E29" s="19" t="s">
        <v>66</v>
      </c>
      <c r="F29" s="19">
        <v>10</v>
      </c>
      <c r="G29" s="21">
        <v>8.5</v>
      </c>
      <c r="H29" s="22"/>
      <c r="I29" s="35"/>
      <c r="J29" s="36" t="str">
        <f>_xlfn.DISPIMG("ID_B4F441EEBC324ECBA8780904FC9BCF37",1)</f>
        <v>=DISPIMG("ID_B4F441EEBC324ECBA8780904FC9BCF37",1)</v>
      </c>
      <c r="K29" s="36"/>
      <c r="L29" s="36"/>
      <c r="M29" s="37"/>
    </row>
    <row r="30" ht="50" customHeight="1" spans="1:13">
      <c r="A30" s="17">
        <f t="shared" si="2"/>
        <v>27</v>
      </c>
      <c r="B30" s="18" t="s">
        <v>67</v>
      </c>
      <c r="C30" s="19" t="s">
        <v>40</v>
      </c>
      <c r="D30" s="20"/>
      <c r="E30" s="19" t="s">
        <v>49</v>
      </c>
      <c r="F30" s="19">
        <v>10</v>
      </c>
      <c r="G30" s="25">
        <v>18.5</v>
      </c>
      <c r="H30" s="22"/>
      <c r="I30" s="35"/>
      <c r="J30" s="38" t="str">
        <f>_xlfn.DISPIMG("ID_CC0D883B27DF4537ADC7679F3940E146",1)</f>
        <v>=DISPIMG("ID_CC0D883B27DF4537ADC7679F3940E146",1)</v>
      </c>
      <c r="K30" s="38"/>
      <c r="L30" s="38"/>
      <c r="M30" s="37"/>
    </row>
    <row r="31" ht="50" customHeight="1" spans="1:13">
      <c r="A31" s="17">
        <f t="shared" si="2"/>
        <v>28</v>
      </c>
      <c r="B31" s="18" t="s">
        <v>68</v>
      </c>
      <c r="C31" s="23" t="s">
        <v>40</v>
      </c>
      <c r="D31" s="20" t="s">
        <v>58</v>
      </c>
      <c r="E31" s="19" t="s">
        <v>42</v>
      </c>
      <c r="F31" s="19">
        <v>50</v>
      </c>
      <c r="G31" s="25">
        <v>21</v>
      </c>
      <c r="H31" s="22"/>
      <c r="I31" s="35"/>
      <c r="J31" s="38" t="str">
        <f>_xlfn.DISPIMG("ID_77E55BB59E4444369845B927DAD6217A",1)</f>
        <v>=DISPIMG("ID_77E55BB59E4444369845B927DAD6217A",1)</v>
      </c>
      <c r="K31" s="39" t="s">
        <v>43</v>
      </c>
      <c r="L31" s="39" t="s">
        <v>43</v>
      </c>
      <c r="M31" s="37"/>
    </row>
    <row r="32" ht="50" customHeight="1" spans="1:13">
      <c r="A32" s="17">
        <f t="shared" si="2"/>
        <v>29</v>
      </c>
      <c r="B32" s="26" t="s">
        <v>69</v>
      </c>
      <c r="C32" s="20" t="s">
        <v>40</v>
      </c>
      <c r="D32" s="20"/>
      <c r="E32" s="19" t="s">
        <v>51</v>
      </c>
      <c r="F32" s="19">
        <v>10</v>
      </c>
      <c r="G32" s="25">
        <v>193</v>
      </c>
      <c r="H32" s="22"/>
      <c r="I32" s="35"/>
      <c r="J32" s="38"/>
      <c r="K32" s="38"/>
      <c r="L32" s="38"/>
      <c r="M32" s="37"/>
    </row>
    <row r="33" ht="50" customHeight="1" spans="1:13">
      <c r="A33" s="17">
        <f t="shared" si="2"/>
        <v>30</v>
      </c>
      <c r="B33" s="18" t="s">
        <v>70</v>
      </c>
      <c r="C33" s="23" t="s">
        <v>40</v>
      </c>
      <c r="D33" s="20" t="s">
        <v>71</v>
      </c>
      <c r="E33" s="19" t="s">
        <v>72</v>
      </c>
      <c r="F33" s="19">
        <v>30</v>
      </c>
      <c r="G33" s="25">
        <v>17.5</v>
      </c>
      <c r="H33" s="22"/>
      <c r="I33" s="35"/>
      <c r="J33" s="38" t="str">
        <f>_xlfn.DISPIMG("ID_DA84C6D089DE4B649EC3D6197698A766",1)</f>
        <v>=DISPIMG("ID_DA84C6D089DE4B649EC3D6197698A766",1)</v>
      </c>
      <c r="K33" s="38"/>
      <c r="L33" s="41" t="s">
        <v>73</v>
      </c>
      <c r="M33" s="37"/>
    </row>
    <row r="34" ht="50" customHeight="1" spans="1:13">
      <c r="A34" s="17">
        <f t="shared" si="2"/>
        <v>31</v>
      </c>
      <c r="B34" s="18" t="s">
        <v>74</v>
      </c>
      <c r="C34" s="23" t="s">
        <v>40</v>
      </c>
      <c r="D34" s="20" t="s">
        <v>75</v>
      </c>
      <c r="E34" s="19" t="s">
        <v>76</v>
      </c>
      <c r="F34" s="19">
        <v>100</v>
      </c>
      <c r="G34" s="25">
        <v>19</v>
      </c>
      <c r="H34" s="22"/>
      <c r="I34" s="35"/>
      <c r="J34" s="38" t="str">
        <f>_xlfn.DISPIMG("ID_CD82AC783521405899B7A8B87ECDB4A9",1)</f>
        <v>=DISPIMG("ID_CD82AC783521405899B7A8B87ECDB4A9",1)</v>
      </c>
      <c r="K34" s="38"/>
      <c r="L34" s="41" t="s">
        <v>73</v>
      </c>
      <c r="M34" s="37"/>
    </row>
    <row r="35" ht="50" customHeight="1" spans="1:13">
      <c r="A35" s="17">
        <f t="shared" ref="A35:A44" si="3">ROW()-3</f>
        <v>32</v>
      </c>
      <c r="B35" s="18" t="s">
        <v>74</v>
      </c>
      <c r="C35" s="23" t="s">
        <v>40</v>
      </c>
      <c r="D35" s="20" t="s">
        <v>77</v>
      </c>
      <c r="E35" s="19" t="s">
        <v>76</v>
      </c>
      <c r="F35" s="19">
        <v>40</v>
      </c>
      <c r="G35" s="25">
        <v>14.5</v>
      </c>
      <c r="H35" s="22"/>
      <c r="I35" s="35"/>
      <c r="J35" s="38" t="str">
        <f>_xlfn.DISPIMG("ID_CD82AC783521405899B7A8B87ECDB4A9",1)</f>
        <v>=DISPIMG("ID_CD82AC783521405899B7A8B87ECDB4A9",1)</v>
      </c>
      <c r="K35" s="38"/>
      <c r="L35" s="41" t="s">
        <v>73</v>
      </c>
      <c r="M35" s="37"/>
    </row>
    <row r="36" ht="50" customHeight="1" spans="1:13">
      <c r="A36" s="17">
        <f t="shared" si="3"/>
        <v>33</v>
      </c>
      <c r="B36" s="18" t="s">
        <v>74</v>
      </c>
      <c r="C36" s="23" t="s">
        <v>40</v>
      </c>
      <c r="D36" s="20" t="s">
        <v>78</v>
      </c>
      <c r="E36" s="19" t="s">
        <v>76</v>
      </c>
      <c r="F36" s="19">
        <v>160</v>
      </c>
      <c r="G36" s="25">
        <v>12.5</v>
      </c>
      <c r="H36" s="22"/>
      <c r="I36" s="35"/>
      <c r="J36" s="38" t="str">
        <f>_xlfn.DISPIMG("ID_CD82AC783521405899B7A8B87ECDB4A9",1)</f>
        <v>=DISPIMG("ID_CD82AC783521405899B7A8B87ECDB4A9",1)</v>
      </c>
      <c r="K36" s="39" t="s">
        <v>43</v>
      </c>
      <c r="L36" s="41" t="s">
        <v>73</v>
      </c>
      <c r="M36" s="37"/>
    </row>
    <row r="37" ht="50" customHeight="1" spans="1:13">
      <c r="A37" s="17">
        <f t="shared" si="3"/>
        <v>34</v>
      </c>
      <c r="B37" s="18" t="s">
        <v>79</v>
      </c>
      <c r="C37" s="23" t="s">
        <v>40</v>
      </c>
      <c r="D37" s="20" t="s">
        <v>80</v>
      </c>
      <c r="E37" s="19" t="s">
        <v>42</v>
      </c>
      <c r="F37" s="19">
        <v>40</v>
      </c>
      <c r="G37" s="25">
        <v>24.5</v>
      </c>
      <c r="H37" s="22"/>
      <c r="I37" s="35"/>
      <c r="J37" s="38" t="str">
        <f>_xlfn.DISPIMG("ID_D44316869C8C4332B273C44B24E265BB",1)</f>
        <v>=DISPIMG("ID_D44316869C8C4332B273C44B24E265BB",1)</v>
      </c>
      <c r="K37" s="38"/>
      <c r="L37" s="41" t="s">
        <v>73</v>
      </c>
      <c r="M37" s="37"/>
    </row>
    <row r="38" ht="50" customHeight="1" spans="1:13">
      <c r="A38" s="17">
        <f t="shared" si="3"/>
        <v>35</v>
      </c>
      <c r="B38" s="18" t="s">
        <v>81</v>
      </c>
      <c r="C38" s="23" t="s">
        <v>40</v>
      </c>
      <c r="D38" s="20" t="s">
        <v>75</v>
      </c>
      <c r="E38" s="19" t="s">
        <v>49</v>
      </c>
      <c r="F38" s="19">
        <v>15</v>
      </c>
      <c r="G38" s="25">
        <v>33.5</v>
      </c>
      <c r="H38" s="22"/>
      <c r="I38" s="35"/>
      <c r="J38" s="38" t="str">
        <f>_xlfn.DISPIMG("ID_6675F4A55D8149C4A22735880CC9B1DE",1)</f>
        <v>=DISPIMG("ID_6675F4A55D8149C4A22735880CC9B1DE",1)</v>
      </c>
      <c r="K38" s="38"/>
      <c r="L38" s="39" t="s">
        <v>43</v>
      </c>
      <c r="M38" s="37"/>
    </row>
    <row r="39" ht="50" customHeight="1" spans="1:13">
      <c r="A39" s="17">
        <f t="shared" si="3"/>
        <v>36</v>
      </c>
      <c r="B39" s="18" t="s">
        <v>81</v>
      </c>
      <c r="C39" s="23" t="s">
        <v>40</v>
      </c>
      <c r="D39" s="20" t="s">
        <v>82</v>
      </c>
      <c r="E39" s="19" t="s">
        <v>49</v>
      </c>
      <c r="F39" s="19">
        <v>80</v>
      </c>
      <c r="G39" s="25">
        <v>28</v>
      </c>
      <c r="H39" s="22"/>
      <c r="I39" s="35"/>
      <c r="J39" s="38" t="str">
        <f>_xlfn.DISPIMG("ID_6675F4A55D8149C4A22735880CC9B1DE",1)</f>
        <v>=DISPIMG("ID_6675F4A55D8149C4A22735880CC9B1DE",1)</v>
      </c>
      <c r="K39" s="38"/>
      <c r="L39" s="41" t="s">
        <v>73</v>
      </c>
      <c r="M39" s="37"/>
    </row>
    <row r="40" ht="50" customHeight="1" spans="1:13">
      <c r="A40" s="17">
        <f t="shared" si="3"/>
        <v>37</v>
      </c>
      <c r="B40" s="18" t="s">
        <v>83</v>
      </c>
      <c r="C40" s="23" t="s">
        <v>84</v>
      </c>
      <c r="D40" s="20" t="s">
        <v>85</v>
      </c>
      <c r="E40" s="19" t="s">
        <v>76</v>
      </c>
      <c r="F40" s="17">
        <v>250</v>
      </c>
      <c r="G40" s="21">
        <v>4.2</v>
      </c>
      <c r="H40" s="22"/>
      <c r="I40" s="35"/>
      <c r="J40" s="36" t="str">
        <f>_xlfn.DISPIMG("ID_6561F8D4A0644EEF97F88DDDB2E23567",1)</f>
        <v>=DISPIMG("ID_6561F8D4A0644EEF97F88DDDB2E23567",1)</v>
      </c>
      <c r="K40" s="36"/>
      <c r="L40" s="36"/>
      <c r="M40" s="37"/>
    </row>
    <row r="41" ht="50" customHeight="1" spans="1:13">
      <c r="A41" s="17">
        <f t="shared" si="3"/>
        <v>38</v>
      </c>
      <c r="B41" s="18" t="s">
        <v>86</v>
      </c>
      <c r="C41" s="19" t="s">
        <v>84</v>
      </c>
      <c r="D41" s="20" t="s">
        <v>87</v>
      </c>
      <c r="E41" s="19" t="s">
        <v>88</v>
      </c>
      <c r="F41" s="19">
        <v>5</v>
      </c>
      <c r="G41" s="25">
        <v>14.5</v>
      </c>
      <c r="H41" s="22"/>
      <c r="I41" s="35"/>
      <c r="J41" s="38" t="str">
        <f>_xlfn.DISPIMG("ID_6EF08B430C1244E6B24C1E2995297238",1)</f>
        <v>=DISPIMG("ID_6EF08B430C1244E6B24C1E2995297238",1)</v>
      </c>
      <c r="K41" s="38"/>
      <c r="L41" s="38"/>
      <c r="M41" s="37"/>
    </row>
    <row r="42" ht="50" customHeight="1" spans="1:13">
      <c r="A42" s="17">
        <f t="shared" si="3"/>
        <v>39</v>
      </c>
      <c r="B42" s="18" t="s">
        <v>89</v>
      </c>
      <c r="C42" s="23" t="s">
        <v>84</v>
      </c>
      <c r="D42" s="20" t="s">
        <v>90</v>
      </c>
      <c r="E42" s="19" t="s">
        <v>51</v>
      </c>
      <c r="F42" s="19">
        <v>5</v>
      </c>
      <c r="G42" s="25">
        <v>1</v>
      </c>
      <c r="H42" s="22"/>
      <c r="I42" s="35"/>
      <c r="J42" s="38" t="str">
        <f>_xlfn.DISPIMG("ID_3B5DDC12163F4DE8BEE7A344011BCD7B",1)</f>
        <v>=DISPIMG("ID_3B5DDC12163F4DE8BEE7A344011BCD7B",1)</v>
      </c>
      <c r="K42" s="38"/>
      <c r="L42" s="38"/>
      <c r="M42" s="37"/>
    </row>
    <row r="43" ht="50" customHeight="1" spans="1:13">
      <c r="A43" s="17">
        <f t="shared" si="3"/>
        <v>40</v>
      </c>
      <c r="B43" s="18" t="s">
        <v>91</v>
      </c>
      <c r="C43" s="19" t="s">
        <v>84</v>
      </c>
      <c r="D43" s="20" t="s">
        <v>92</v>
      </c>
      <c r="E43" s="19" t="s">
        <v>93</v>
      </c>
      <c r="F43" s="19">
        <v>135</v>
      </c>
      <c r="G43" s="25">
        <v>2.5</v>
      </c>
      <c r="H43" s="22"/>
      <c r="I43" s="35"/>
      <c r="J43" s="38" t="str">
        <f>_xlfn.DISPIMG("ID_061FD2B607FF4670B9160B7EB7AE113E",1)</f>
        <v>=DISPIMG("ID_061FD2B607FF4670B9160B7EB7AE113E",1)</v>
      </c>
      <c r="K43" s="38"/>
      <c r="L43" s="38"/>
      <c r="M43" s="37"/>
    </row>
    <row r="44" ht="50" customHeight="1" spans="1:13">
      <c r="A44" s="17">
        <f t="shared" si="3"/>
        <v>41</v>
      </c>
      <c r="B44" s="18" t="s">
        <v>94</v>
      </c>
      <c r="C44" s="23" t="s">
        <v>84</v>
      </c>
      <c r="D44" s="20" t="s">
        <v>95</v>
      </c>
      <c r="E44" s="19" t="s">
        <v>51</v>
      </c>
      <c r="F44" s="17">
        <v>1000</v>
      </c>
      <c r="G44" s="21">
        <v>2.8</v>
      </c>
      <c r="H44" s="22"/>
      <c r="I44" s="35"/>
      <c r="J44" s="36" t="str">
        <f>_xlfn.DISPIMG("ID_70986DE83F04411EAA657E5A2FB28BC2",1)</f>
        <v>=DISPIMG("ID_70986DE83F04411EAA657E5A2FB28BC2",1)</v>
      </c>
      <c r="K44" s="36"/>
      <c r="L44" s="36"/>
      <c r="M44" s="37"/>
    </row>
    <row r="45" ht="50" customHeight="1" spans="1:13">
      <c r="A45" s="17">
        <f t="shared" ref="A45:A54" si="4">ROW()-3</f>
        <v>42</v>
      </c>
      <c r="B45" s="18" t="s">
        <v>96</v>
      </c>
      <c r="C45" s="23" t="s">
        <v>84</v>
      </c>
      <c r="D45" s="20" t="s">
        <v>97</v>
      </c>
      <c r="E45" s="19" t="s">
        <v>93</v>
      </c>
      <c r="F45" s="17">
        <v>1200</v>
      </c>
      <c r="G45" s="21">
        <v>3.1</v>
      </c>
      <c r="H45" s="22"/>
      <c r="I45" s="35"/>
      <c r="J45" s="36" t="str">
        <f>_xlfn.DISPIMG("ID_76761A744BCB4FD5967C5040039ED659",1)</f>
        <v>=DISPIMG("ID_76761A744BCB4FD5967C5040039ED659",1)</v>
      </c>
      <c r="K45" s="36"/>
      <c r="L45" s="36"/>
      <c r="M45" s="37"/>
    </row>
    <row r="46" ht="50" customHeight="1" spans="1:13">
      <c r="A46" s="17">
        <f t="shared" si="4"/>
        <v>43</v>
      </c>
      <c r="B46" s="18" t="s">
        <v>98</v>
      </c>
      <c r="C46" s="23" t="s">
        <v>84</v>
      </c>
      <c r="D46" s="20" t="s">
        <v>99</v>
      </c>
      <c r="E46" s="19" t="s">
        <v>100</v>
      </c>
      <c r="F46" s="17">
        <v>5</v>
      </c>
      <c r="G46" s="21">
        <v>300</v>
      </c>
      <c r="H46" s="22"/>
      <c r="I46" s="35"/>
      <c r="J46" s="36"/>
      <c r="K46" s="36"/>
      <c r="L46" s="36"/>
      <c r="M46" s="37"/>
    </row>
    <row r="47" ht="50" customHeight="1" spans="1:13">
      <c r="A47" s="17">
        <f t="shared" si="4"/>
        <v>44</v>
      </c>
      <c r="B47" s="18" t="s">
        <v>101</v>
      </c>
      <c r="C47" s="23" t="s">
        <v>84</v>
      </c>
      <c r="D47" s="24" t="s">
        <v>102</v>
      </c>
      <c r="E47" s="17" t="s">
        <v>51</v>
      </c>
      <c r="F47" s="17">
        <v>50</v>
      </c>
      <c r="G47" s="21">
        <v>9.8</v>
      </c>
      <c r="H47" s="22"/>
      <c r="I47" s="35"/>
      <c r="J47" s="36" t="str">
        <f>_xlfn.DISPIMG("ID_2EECFF2F86684AE38DCB02C3A6242293",1)</f>
        <v>=DISPIMG("ID_2EECFF2F86684AE38DCB02C3A6242293",1)</v>
      </c>
      <c r="K47" s="39" t="s">
        <v>43</v>
      </c>
      <c r="L47" s="36"/>
      <c r="M47" s="37"/>
    </row>
    <row r="48" ht="50" customHeight="1" spans="1:13">
      <c r="A48" s="17">
        <f t="shared" si="4"/>
        <v>45</v>
      </c>
      <c r="B48" s="18" t="s">
        <v>103</v>
      </c>
      <c r="C48" s="23" t="s">
        <v>84</v>
      </c>
      <c r="D48" s="24" t="s">
        <v>104</v>
      </c>
      <c r="E48" s="17" t="s">
        <v>31</v>
      </c>
      <c r="F48" s="17">
        <v>10</v>
      </c>
      <c r="G48" s="21">
        <v>2.5</v>
      </c>
      <c r="H48" s="22"/>
      <c r="I48" s="35"/>
      <c r="J48" s="36"/>
      <c r="K48" s="36"/>
      <c r="L48" s="36"/>
      <c r="M48" s="37"/>
    </row>
    <row r="49" ht="50" customHeight="1" spans="1:13">
      <c r="A49" s="17">
        <f t="shared" si="4"/>
        <v>46</v>
      </c>
      <c r="B49" s="18" t="s">
        <v>105</v>
      </c>
      <c r="C49" s="19" t="s">
        <v>84</v>
      </c>
      <c r="D49" s="20"/>
      <c r="E49" s="19" t="s">
        <v>51</v>
      </c>
      <c r="F49" s="19">
        <v>10</v>
      </c>
      <c r="G49" s="21">
        <v>12.8</v>
      </c>
      <c r="H49" s="22"/>
      <c r="I49" s="35"/>
      <c r="J49" s="36" t="str">
        <f>_xlfn.DISPIMG("ID_4EB5796388A54412B801F6AA30562D6C",1)</f>
        <v>=DISPIMG("ID_4EB5796388A54412B801F6AA30562D6C",1)</v>
      </c>
      <c r="K49" s="39" t="s">
        <v>43</v>
      </c>
      <c r="L49" s="36"/>
      <c r="M49" s="37"/>
    </row>
    <row r="50" ht="50" customHeight="1" spans="1:13">
      <c r="A50" s="17">
        <f t="shared" si="4"/>
        <v>47</v>
      </c>
      <c r="B50" s="18" t="s">
        <v>106</v>
      </c>
      <c r="C50" s="23" t="s">
        <v>107</v>
      </c>
      <c r="D50" s="24" t="s">
        <v>108</v>
      </c>
      <c r="E50" s="17" t="s">
        <v>51</v>
      </c>
      <c r="F50" s="17">
        <v>5</v>
      </c>
      <c r="G50" s="21">
        <v>103</v>
      </c>
      <c r="H50" s="22"/>
      <c r="I50" s="35"/>
      <c r="J50" s="36" t="str">
        <f>_xlfn.DISPIMG("ID_E32E9DAA784D47ADAD08BAB8196D9A6B",1)</f>
        <v>=DISPIMG("ID_E32E9DAA784D47ADAD08BAB8196D9A6B",1)</v>
      </c>
      <c r="K50" s="36"/>
      <c r="L50" s="36"/>
      <c r="M50" s="37"/>
    </row>
    <row r="51" ht="50" customHeight="1" spans="1:13">
      <c r="A51" s="17">
        <f t="shared" si="4"/>
        <v>48</v>
      </c>
      <c r="B51" s="18" t="s">
        <v>109</v>
      </c>
      <c r="C51" s="23" t="s">
        <v>110</v>
      </c>
      <c r="D51" s="20" t="s">
        <v>111</v>
      </c>
      <c r="E51" s="19" t="s">
        <v>31</v>
      </c>
      <c r="F51" s="17">
        <v>100</v>
      </c>
      <c r="G51" s="21">
        <v>10</v>
      </c>
      <c r="H51" s="22"/>
      <c r="I51" s="35"/>
      <c r="J51" s="36" t="str">
        <f>_xlfn.DISPIMG("ID_6B2F8B864E4B4224AF3426764454EE6F",1)</f>
        <v>=DISPIMG("ID_6B2F8B864E4B4224AF3426764454EE6F",1)</v>
      </c>
      <c r="K51" s="39" t="s">
        <v>43</v>
      </c>
      <c r="L51" s="36"/>
      <c r="M51" s="37"/>
    </row>
    <row r="52" ht="50" customHeight="1" spans="1:13">
      <c r="A52" s="17">
        <f t="shared" si="4"/>
        <v>49</v>
      </c>
      <c r="B52" s="27" t="s">
        <v>112</v>
      </c>
      <c r="C52" s="28" t="s">
        <v>110</v>
      </c>
      <c r="D52" s="29"/>
      <c r="E52" s="29" t="s">
        <v>113</v>
      </c>
      <c r="F52" s="20">
        <v>20</v>
      </c>
      <c r="G52" s="25">
        <v>0.53</v>
      </c>
      <c r="H52" s="22"/>
      <c r="I52" s="35"/>
      <c r="J52" s="42" t="str">
        <f>_xlfn.DISPIMG("ID_18B1BE93571740BE80A7395558D5D60F",1)</f>
        <v>=DISPIMG("ID_18B1BE93571740BE80A7395558D5D60F",1)</v>
      </c>
      <c r="K52" s="42"/>
      <c r="L52" s="42"/>
      <c r="M52" s="43"/>
    </row>
    <row r="53" ht="50" customHeight="1" spans="1:13">
      <c r="A53" s="17">
        <f t="shared" si="4"/>
        <v>50</v>
      </c>
      <c r="B53" s="18" t="s">
        <v>114</v>
      </c>
      <c r="C53" s="23" t="s">
        <v>110</v>
      </c>
      <c r="D53" s="20" t="s">
        <v>111</v>
      </c>
      <c r="E53" s="19" t="s">
        <v>31</v>
      </c>
      <c r="F53" s="17">
        <v>270</v>
      </c>
      <c r="G53" s="21">
        <v>18</v>
      </c>
      <c r="H53" s="22"/>
      <c r="I53" s="35"/>
      <c r="J53" s="36" t="str">
        <f>_xlfn.DISPIMG("ID_6B2F8B864E4B4224AF3426764454EE6F",1)</f>
        <v>=DISPIMG("ID_6B2F8B864E4B4224AF3426764454EE6F",1)</v>
      </c>
      <c r="K53" s="36"/>
      <c r="L53" s="36"/>
      <c r="M53" s="37"/>
    </row>
    <row r="54" ht="50" customHeight="1" spans="1:13">
      <c r="A54" s="17">
        <f t="shared" si="4"/>
        <v>51</v>
      </c>
      <c r="B54" s="18" t="s">
        <v>115</v>
      </c>
      <c r="C54" s="23" t="s">
        <v>110</v>
      </c>
      <c r="D54" s="20" t="s">
        <v>116</v>
      </c>
      <c r="E54" s="19" t="s">
        <v>113</v>
      </c>
      <c r="F54" s="17">
        <v>1700</v>
      </c>
      <c r="G54" s="21">
        <v>3.3</v>
      </c>
      <c r="H54" s="22"/>
      <c r="I54" s="35"/>
      <c r="J54" s="36" t="str">
        <f>_xlfn.DISPIMG("ID_2F2FF9E841754E5F93F2D0B0DC87DD5F",1)</f>
        <v>=DISPIMG("ID_2F2FF9E841754E5F93F2D0B0DC87DD5F",1)</v>
      </c>
      <c r="K54" s="39" t="s">
        <v>43</v>
      </c>
      <c r="L54" s="36"/>
      <c r="M54" s="37"/>
    </row>
    <row r="55" ht="50" customHeight="1" spans="1:13">
      <c r="A55" s="17">
        <f t="shared" ref="A55:A64" si="5">ROW()-3</f>
        <v>52</v>
      </c>
      <c r="B55" s="18" t="s">
        <v>117</v>
      </c>
      <c r="C55" s="19" t="s">
        <v>110</v>
      </c>
      <c r="D55" s="20" t="s">
        <v>111</v>
      </c>
      <c r="E55" s="19" t="s">
        <v>31</v>
      </c>
      <c r="F55" s="19">
        <v>10</v>
      </c>
      <c r="G55" s="21">
        <v>11.5</v>
      </c>
      <c r="H55" s="22"/>
      <c r="I55" s="35"/>
      <c r="J55" s="36" t="str">
        <f>_xlfn.DISPIMG("ID_98A6B85D284B499F8BECEB092B5EFBF3",1)</f>
        <v>=DISPIMG("ID_98A6B85D284B499F8BECEB092B5EFBF3",1)</v>
      </c>
      <c r="K55" s="36"/>
      <c r="L55" s="36"/>
      <c r="M55" s="37"/>
    </row>
    <row r="56" ht="50" customHeight="1" spans="1:13">
      <c r="A56" s="17">
        <f t="shared" si="5"/>
        <v>53</v>
      </c>
      <c r="B56" s="18" t="s">
        <v>118</v>
      </c>
      <c r="C56" s="19" t="s">
        <v>119</v>
      </c>
      <c r="D56" s="20" t="s">
        <v>120</v>
      </c>
      <c r="E56" s="19" t="s">
        <v>121</v>
      </c>
      <c r="F56" s="19">
        <v>10</v>
      </c>
      <c r="G56" s="21">
        <v>84</v>
      </c>
      <c r="H56" s="22"/>
      <c r="I56" s="35"/>
      <c r="J56" s="36" t="str">
        <f>_xlfn.DISPIMG("ID_1329205F74A54F0FBBB3C7F7DBE329E4",1)</f>
        <v>=DISPIMG("ID_1329205F74A54F0FBBB3C7F7DBE329E4",1)</v>
      </c>
      <c r="K56" s="36"/>
      <c r="L56" s="36"/>
      <c r="M56" s="37"/>
    </row>
    <row r="57" s="1" customFormat="1" ht="50" customHeight="1" spans="1:13">
      <c r="A57" s="30">
        <f t="shared" si="5"/>
        <v>54</v>
      </c>
      <c r="B57" s="18" t="s">
        <v>122</v>
      </c>
      <c r="C57" s="18" t="s">
        <v>119</v>
      </c>
      <c r="D57" s="26" t="s">
        <v>120</v>
      </c>
      <c r="E57" s="18" t="s">
        <v>123</v>
      </c>
      <c r="F57" s="18">
        <v>248</v>
      </c>
      <c r="G57" s="25">
        <v>26</v>
      </c>
      <c r="H57" s="22"/>
      <c r="I57" s="44"/>
      <c r="J57" s="45" t="str">
        <f>_xlfn.DISPIMG("ID_AA1F667D0D214341820A52871E2219B8",1)</f>
        <v>=DISPIMG("ID_AA1F667D0D214341820A52871E2219B8",1)</v>
      </c>
      <c r="K57" s="45"/>
      <c r="L57" s="45"/>
      <c r="M57" s="46"/>
    </row>
    <row r="58" s="1" customFormat="1" ht="50" customHeight="1" spans="1:13">
      <c r="A58" s="30">
        <f t="shared" si="5"/>
        <v>55</v>
      </c>
      <c r="B58" s="18" t="s">
        <v>124</v>
      </c>
      <c r="C58" s="18" t="s">
        <v>119</v>
      </c>
      <c r="D58" s="26" t="s">
        <v>125</v>
      </c>
      <c r="E58" s="18" t="s">
        <v>42</v>
      </c>
      <c r="F58" s="18">
        <v>107</v>
      </c>
      <c r="G58" s="25">
        <v>10</v>
      </c>
      <c r="H58" s="22"/>
      <c r="I58" s="44"/>
      <c r="J58" s="45" t="str">
        <f>_xlfn.DISPIMG("ID_B5E28FE502584308A5E2FEDC89636946",1)</f>
        <v>=DISPIMG("ID_B5E28FE502584308A5E2FEDC89636946",1)</v>
      </c>
      <c r="K58" s="45"/>
      <c r="L58" s="45"/>
      <c r="M58" s="46"/>
    </row>
    <row r="59" ht="50" customHeight="1" spans="1:13">
      <c r="A59" s="17">
        <f t="shared" si="5"/>
        <v>56</v>
      </c>
      <c r="B59" s="18" t="s">
        <v>126</v>
      </c>
      <c r="C59" s="19" t="s">
        <v>119</v>
      </c>
      <c r="D59" s="20" t="s">
        <v>120</v>
      </c>
      <c r="E59" s="19" t="s">
        <v>121</v>
      </c>
      <c r="F59" s="19">
        <v>10</v>
      </c>
      <c r="G59" s="25">
        <v>120</v>
      </c>
      <c r="H59" s="22"/>
      <c r="I59" s="35"/>
      <c r="J59" s="38" t="str">
        <f>_xlfn.DISPIMG("ID_C1CA64F66A9049EE9D4628BA5D6A85F0",1)</f>
        <v>=DISPIMG("ID_C1CA64F66A9049EE9D4628BA5D6A85F0",1)</v>
      </c>
      <c r="K59" s="38"/>
      <c r="L59" s="38"/>
      <c r="M59" s="37"/>
    </row>
    <row r="60" ht="50" customHeight="1" spans="1:13">
      <c r="A60" s="17">
        <f t="shared" si="5"/>
        <v>57</v>
      </c>
      <c r="B60" s="18" t="s">
        <v>127</v>
      </c>
      <c r="C60" s="23" t="s">
        <v>119</v>
      </c>
      <c r="D60" s="20" t="s">
        <v>128</v>
      </c>
      <c r="E60" s="19" t="s">
        <v>51</v>
      </c>
      <c r="F60" s="19">
        <v>15</v>
      </c>
      <c r="G60" s="25">
        <v>7.3</v>
      </c>
      <c r="H60" s="22"/>
      <c r="I60" s="35"/>
      <c r="J60" s="38" t="str">
        <f>_xlfn.DISPIMG("ID_C18F3D89C7DD460B9923C973221A46FD",1)</f>
        <v>=DISPIMG("ID_C18F3D89C7DD460B9923C973221A46FD",1)</v>
      </c>
      <c r="K60" s="39" t="s">
        <v>43</v>
      </c>
      <c r="L60" s="38"/>
      <c r="M60" s="37"/>
    </row>
    <row r="61" ht="50" customHeight="1" spans="1:13">
      <c r="A61" s="17">
        <f t="shared" si="5"/>
        <v>58</v>
      </c>
      <c r="B61" s="18" t="s">
        <v>129</v>
      </c>
      <c r="C61" s="23" t="s">
        <v>119</v>
      </c>
      <c r="D61" s="20" t="s">
        <v>127</v>
      </c>
      <c r="E61" s="19" t="s">
        <v>42</v>
      </c>
      <c r="F61" s="19">
        <v>90</v>
      </c>
      <c r="G61" s="25">
        <v>8</v>
      </c>
      <c r="H61" s="22"/>
      <c r="I61" s="35"/>
      <c r="J61" s="38" t="str">
        <f>_xlfn.DISPIMG("ID_D52FB7BB753F44338C5B1AD9727F550A",1)</f>
        <v>=DISPIMG("ID_D52FB7BB753F44338C5B1AD9727F550A",1)</v>
      </c>
      <c r="K61" s="39" t="s">
        <v>43</v>
      </c>
      <c r="L61" s="38"/>
      <c r="M61" s="37"/>
    </row>
    <row r="62" ht="50" customHeight="1" spans="1:13">
      <c r="A62" s="17">
        <f t="shared" si="5"/>
        <v>59</v>
      </c>
      <c r="B62" s="18" t="s">
        <v>130</v>
      </c>
      <c r="C62" s="23" t="s">
        <v>119</v>
      </c>
      <c r="D62" s="20"/>
      <c r="E62" s="19" t="s">
        <v>51</v>
      </c>
      <c r="F62" s="17">
        <v>10</v>
      </c>
      <c r="G62" s="21">
        <v>2.8</v>
      </c>
      <c r="H62" s="22"/>
      <c r="I62" s="35"/>
      <c r="J62" s="36" t="str">
        <f>_xlfn.DISPIMG("ID_B8818E206ED249A7866F618BD17EDAE9",1)</f>
        <v>=DISPIMG("ID_B8818E206ED249A7866F618BD17EDAE9",1)</v>
      </c>
      <c r="K62" s="36"/>
      <c r="L62" s="36"/>
      <c r="M62" s="37"/>
    </row>
    <row r="63" ht="50" customHeight="1" spans="1:13">
      <c r="A63" s="17">
        <f t="shared" si="5"/>
        <v>60</v>
      </c>
      <c r="B63" s="18" t="s">
        <v>131</v>
      </c>
      <c r="C63" s="19" t="s">
        <v>119</v>
      </c>
      <c r="D63" s="20" t="s">
        <v>132</v>
      </c>
      <c r="E63" s="19" t="s">
        <v>49</v>
      </c>
      <c r="F63" s="19">
        <v>143</v>
      </c>
      <c r="G63" s="25">
        <v>11.9</v>
      </c>
      <c r="H63" s="22"/>
      <c r="I63" s="35"/>
      <c r="J63" s="38" t="str">
        <f>_xlfn.DISPIMG("ID_1C94F30231244E1FBB6C3B2504564BC9",1)</f>
        <v>=DISPIMG("ID_1C94F30231244E1FBB6C3B2504564BC9",1)</v>
      </c>
      <c r="K63" s="39" t="s">
        <v>43</v>
      </c>
      <c r="L63" s="39" t="s">
        <v>43</v>
      </c>
      <c r="M63" s="37"/>
    </row>
    <row r="64" ht="50" customHeight="1" spans="1:13">
      <c r="A64" s="17">
        <f t="shared" si="5"/>
        <v>61</v>
      </c>
      <c r="B64" s="18" t="s">
        <v>133</v>
      </c>
      <c r="C64" s="19" t="s">
        <v>119</v>
      </c>
      <c r="D64" s="20" t="s">
        <v>134</v>
      </c>
      <c r="E64" s="19" t="s">
        <v>51</v>
      </c>
      <c r="F64" s="19">
        <v>86</v>
      </c>
      <c r="G64" s="25">
        <v>4.5</v>
      </c>
      <c r="H64" s="22"/>
      <c r="I64" s="35"/>
      <c r="J64" s="38" t="str">
        <f>_xlfn.DISPIMG("ID_6665C569EF18419EABE686C835D671B1",1)</f>
        <v>=DISPIMG("ID_6665C569EF18419EABE686C835D671B1",1)</v>
      </c>
      <c r="K64" s="39"/>
      <c r="L64" s="39" t="s">
        <v>43</v>
      </c>
      <c r="M64" s="37"/>
    </row>
    <row r="65" ht="50" customHeight="1" spans="1:13">
      <c r="A65" s="17">
        <f t="shared" ref="A65:A74" si="6">ROW()-3</f>
        <v>62</v>
      </c>
      <c r="B65" s="18" t="s">
        <v>135</v>
      </c>
      <c r="C65" s="19" t="s">
        <v>119</v>
      </c>
      <c r="D65" s="20" t="s">
        <v>120</v>
      </c>
      <c r="E65" s="19" t="s">
        <v>123</v>
      </c>
      <c r="F65" s="19">
        <v>100</v>
      </c>
      <c r="G65" s="25">
        <v>30</v>
      </c>
      <c r="H65" s="22"/>
      <c r="I65" s="35"/>
      <c r="J65" s="38" t="str">
        <f>_xlfn.DISPIMG("ID_D06E7A878D3B422697795FEF45CA8D5F",1)</f>
        <v>=DISPIMG("ID_D06E7A878D3B422697795FEF45CA8D5F",1)</v>
      </c>
      <c r="K65" s="38"/>
      <c r="L65" s="38"/>
      <c r="M65" s="37"/>
    </row>
    <row r="66" ht="50" customHeight="1" spans="1:13">
      <c r="A66" s="17">
        <f t="shared" si="6"/>
        <v>63</v>
      </c>
      <c r="B66" s="18" t="s">
        <v>136</v>
      </c>
      <c r="C66" s="23" t="s">
        <v>119</v>
      </c>
      <c r="D66" s="20"/>
      <c r="E66" s="19" t="s">
        <v>42</v>
      </c>
      <c r="F66" s="19">
        <v>300</v>
      </c>
      <c r="G66" s="21">
        <v>3.3</v>
      </c>
      <c r="H66" s="22"/>
      <c r="I66" s="35"/>
      <c r="J66" s="38" t="str">
        <f>_xlfn.DISPIMG("ID_7EF3DFB34F914DE7B9D92770EA38CF76",1)</f>
        <v>=DISPIMG("ID_7EF3DFB34F914DE7B9D92770EA38CF76",1)</v>
      </c>
      <c r="K66" s="38"/>
      <c r="L66" s="39" t="s">
        <v>43</v>
      </c>
      <c r="M66" s="37"/>
    </row>
    <row r="67" ht="50" customHeight="1" spans="1:13">
      <c r="A67" s="17">
        <f t="shared" si="6"/>
        <v>64</v>
      </c>
      <c r="B67" s="18" t="s">
        <v>137</v>
      </c>
      <c r="C67" s="19" t="s">
        <v>119</v>
      </c>
      <c r="D67" s="20"/>
      <c r="E67" s="19" t="s">
        <v>42</v>
      </c>
      <c r="F67" s="19">
        <v>50</v>
      </c>
      <c r="G67" s="21">
        <v>5</v>
      </c>
      <c r="H67" s="22"/>
      <c r="I67" s="35"/>
      <c r="J67" s="36" t="str">
        <f>_xlfn.DISPIMG("ID_4A8A126D40F049FDB8C80E9F25BD5E60",1)</f>
        <v>=DISPIMG("ID_4A8A126D40F049FDB8C80E9F25BD5E60",1)</v>
      </c>
      <c r="K67" s="36"/>
      <c r="L67" s="39" t="s">
        <v>43</v>
      </c>
      <c r="M67" s="37"/>
    </row>
    <row r="68" ht="50" customHeight="1" spans="1:13">
      <c r="A68" s="17">
        <f t="shared" si="6"/>
        <v>65</v>
      </c>
      <c r="B68" s="18" t="s">
        <v>138</v>
      </c>
      <c r="C68" s="19" t="s">
        <v>119</v>
      </c>
      <c r="D68" s="20"/>
      <c r="E68" s="19" t="s">
        <v>42</v>
      </c>
      <c r="F68" s="19">
        <v>10</v>
      </c>
      <c r="G68" s="25">
        <v>8.5</v>
      </c>
      <c r="H68" s="22"/>
      <c r="I68" s="35"/>
      <c r="J68" s="38" t="str">
        <f>_xlfn.DISPIMG("ID_B536CF0D562F4A1CA5574D54285AA1B3",1)</f>
        <v>=DISPIMG("ID_B536CF0D562F4A1CA5574D54285AA1B3",1)</v>
      </c>
      <c r="K68" s="38"/>
      <c r="L68" s="38"/>
      <c r="M68" s="37"/>
    </row>
    <row r="69" ht="50" customHeight="1" spans="1:13">
      <c r="A69" s="17">
        <f t="shared" si="6"/>
        <v>66</v>
      </c>
      <c r="B69" s="18" t="s">
        <v>139</v>
      </c>
      <c r="C69" s="23" t="s">
        <v>140</v>
      </c>
      <c r="D69" s="20" t="s">
        <v>141</v>
      </c>
      <c r="E69" s="19" t="s">
        <v>88</v>
      </c>
      <c r="F69" s="19">
        <v>10</v>
      </c>
      <c r="G69" s="25">
        <v>18.5</v>
      </c>
      <c r="H69" s="22"/>
      <c r="I69" s="35"/>
      <c r="J69" s="38" t="str">
        <f>_xlfn.DISPIMG("ID_B6706F8359C5401498A819A6EA8423A7",1)</f>
        <v>=DISPIMG("ID_B6706F8359C5401498A819A6EA8423A7",1)</v>
      </c>
      <c r="K69" s="38"/>
      <c r="L69" s="38"/>
      <c r="M69" s="37"/>
    </row>
    <row r="70" ht="50" customHeight="1" spans="1:13">
      <c r="A70" s="17">
        <f t="shared" si="6"/>
        <v>67</v>
      </c>
      <c r="B70" s="18" t="s">
        <v>142</v>
      </c>
      <c r="C70" s="23" t="s">
        <v>140</v>
      </c>
      <c r="D70" s="20" t="s">
        <v>143</v>
      </c>
      <c r="E70" s="19" t="s">
        <v>88</v>
      </c>
      <c r="F70" s="17">
        <v>21</v>
      </c>
      <c r="G70" s="21">
        <v>49</v>
      </c>
      <c r="H70" s="22"/>
      <c r="I70" s="35"/>
      <c r="J70" s="36" t="str">
        <f>_xlfn.DISPIMG("ID_C0E78F4E5287497FA3D500A727D39614",1)</f>
        <v>=DISPIMG("ID_C0E78F4E5287497FA3D500A727D39614",1)</v>
      </c>
      <c r="K70" s="36"/>
      <c r="L70" s="36"/>
      <c r="M70" s="37"/>
    </row>
    <row r="71" ht="50" customHeight="1" spans="1:13">
      <c r="A71" s="17">
        <f t="shared" si="6"/>
        <v>68</v>
      </c>
      <c r="B71" s="18" t="s">
        <v>144</v>
      </c>
      <c r="C71" s="23" t="s">
        <v>140</v>
      </c>
      <c r="D71" s="20" t="s">
        <v>145</v>
      </c>
      <c r="E71" s="19" t="s">
        <v>146</v>
      </c>
      <c r="F71" s="19">
        <v>88</v>
      </c>
      <c r="G71" s="25">
        <v>55</v>
      </c>
      <c r="H71" s="22"/>
      <c r="I71" s="35"/>
      <c r="J71" s="38" t="str">
        <f>_xlfn.DISPIMG("ID_1F2E1DD0FBB44098AA9B3F00E53AE4F6",1)</f>
        <v>=DISPIMG("ID_1F2E1DD0FBB44098AA9B3F00E53AE4F6",1)</v>
      </c>
      <c r="K71" s="38"/>
      <c r="L71" s="38"/>
      <c r="M71" s="37"/>
    </row>
    <row r="72" ht="50" customHeight="1" spans="1:13">
      <c r="A72" s="17">
        <f t="shared" si="6"/>
        <v>69</v>
      </c>
      <c r="B72" s="18" t="s">
        <v>147</v>
      </c>
      <c r="C72" s="19" t="s">
        <v>140</v>
      </c>
      <c r="D72" s="20"/>
      <c r="E72" s="19" t="s">
        <v>148</v>
      </c>
      <c r="F72" s="19">
        <v>10</v>
      </c>
      <c r="G72" s="21">
        <v>2</v>
      </c>
      <c r="H72" s="22"/>
      <c r="I72" s="35"/>
      <c r="J72" s="36" t="s">
        <v>149</v>
      </c>
      <c r="K72" s="36"/>
      <c r="L72" s="36"/>
      <c r="M72" s="37"/>
    </row>
    <row r="73" ht="50" customHeight="1" spans="1:13">
      <c r="A73" s="17">
        <f t="shared" si="6"/>
        <v>70</v>
      </c>
      <c r="B73" s="18" t="s">
        <v>150</v>
      </c>
      <c r="C73" s="19" t="s">
        <v>140</v>
      </c>
      <c r="D73" s="20" t="s">
        <v>151</v>
      </c>
      <c r="E73" s="19" t="s">
        <v>31</v>
      </c>
      <c r="F73" s="19">
        <v>30</v>
      </c>
      <c r="G73" s="25">
        <v>3.2</v>
      </c>
      <c r="H73" s="22"/>
      <c r="I73" s="35"/>
      <c r="J73" s="38" t="str">
        <f>_xlfn.DISPIMG("ID_88E6029238A442689572EE44C6FFADC6",1)</f>
        <v>=DISPIMG("ID_88E6029238A442689572EE44C6FFADC6",1)</v>
      </c>
      <c r="K73" s="38"/>
      <c r="L73" s="38"/>
      <c r="M73" s="37"/>
    </row>
    <row r="74" ht="50" customHeight="1" spans="1:13">
      <c r="A74" s="17">
        <f t="shared" si="6"/>
        <v>71</v>
      </c>
      <c r="B74" s="18" t="s">
        <v>152</v>
      </c>
      <c r="C74" s="19" t="s">
        <v>140</v>
      </c>
      <c r="D74" s="20" t="s">
        <v>153</v>
      </c>
      <c r="E74" s="19" t="s">
        <v>88</v>
      </c>
      <c r="F74" s="19">
        <v>20</v>
      </c>
      <c r="G74" s="25">
        <v>5.2</v>
      </c>
      <c r="H74" s="22"/>
      <c r="I74" s="35"/>
      <c r="J74" s="38" t="str">
        <f>_xlfn.DISPIMG("ID_F1D2998E042D43428119294577366BF7",1)</f>
        <v>=DISPIMG("ID_F1D2998E042D43428119294577366BF7",1)</v>
      </c>
      <c r="K74" s="38"/>
      <c r="L74" s="38"/>
      <c r="M74" s="37"/>
    </row>
    <row r="75" ht="50" customHeight="1" spans="1:13">
      <c r="A75" s="17">
        <f t="shared" ref="A75:A84" si="7">ROW()-3</f>
        <v>72</v>
      </c>
      <c r="B75" s="18" t="s">
        <v>154</v>
      </c>
      <c r="C75" s="19" t="s">
        <v>140</v>
      </c>
      <c r="D75" s="20" t="s">
        <v>155</v>
      </c>
      <c r="E75" s="19" t="s">
        <v>146</v>
      </c>
      <c r="F75" s="19">
        <v>10</v>
      </c>
      <c r="G75" s="25">
        <v>58</v>
      </c>
      <c r="H75" s="22"/>
      <c r="I75" s="35"/>
      <c r="J75" s="38"/>
      <c r="K75" s="38"/>
      <c r="L75" s="38"/>
      <c r="M75" s="37"/>
    </row>
    <row r="76" ht="50" customHeight="1" spans="1:13">
      <c r="A76" s="17">
        <f t="shared" si="7"/>
        <v>73</v>
      </c>
      <c r="B76" s="18" t="s">
        <v>154</v>
      </c>
      <c r="C76" s="19" t="s">
        <v>140</v>
      </c>
      <c r="D76" s="20" t="s">
        <v>156</v>
      </c>
      <c r="E76" s="19" t="s">
        <v>146</v>
      </c>
      <c r="F76" s="19">
        <v>10</v>
      </c>
      <c r="G76" s="25">
        <v>62</v>
      </c>
      <c r="H76" s="22"/>
      <c r="I76" s="35"/>
      <c r="J76" s="38" t="str">
        <f>_xlfn.DISPIMG("ID_DDD2F177C70343238D0808AAF2EA5B80",1)</f>
        <v>=DISPIMG("ID_DDD2F177C70343238D0808AAF2EA5B80",1)</v>
      </c>
      <c r="K76" s="38"/>
      <c r="L76" s="38"/>
      <c r="M76" s="37"/>
    </row>
    <row r="77" ht="50" customHeight="1" spans="1:13">
      <c r="A77" s="17">
        <f t="shared" si="7"/>
        <v>74</v>
      </c>
      <c r="B77" s="18" t="s">
        <v>157</v>
      </c>
      <c r="C77" s="19" t="s">
        <v>140</v>
      </c>
      <c r="D77" s="20" t="s">
        <v>158</v>
      </c>
      <c r="E77" s="19" t="s">
        <v>88</v>
      </c>
      <c r="F77" s="19">
        <v>5</v>
      </c>
      <c r="G77" s="25">
        <v>32</v>
      </c>
      <c r="H77" s="22"/>
      <c r="I77" s="35"/>
      <c r="J77" s="38" t="str">
        <f>_xlfn.DISPIMG("ID_7982E3E997E84683BD3C3E502D6A4E43",1)</f>
        <v>=DISPIMG("ID_7982E3E997E84683BD3C3E502D6A4E43",1)</v>
      </c>
      <c r="K77" s="38"/>
      <c r="L77" s="38"/>
      <c r="M77" s="37"/>
    </row>
    <row r="78" ht="50" customHeight="1" spans="1:13">
      <c r="A78" s="17">
        <f t="shared" si="7"/>
        <v>75</v>
      </c>
      <c r="B78" s="18" t="s">
        <v>159</v>
      </c>
      <c r="C78" s="19" t="s">
        <v>140</v>
      </c>
      <c r="D78" s="20" t="s">
        <v>160</v>
      </c>
      <c r="E78" s="19" t="s">
        <v>31</v>
      </c>
      <c r="F78" s="17">
        <v>50</v>
      </c>
      <c r="G78" s="21">
        <v>7</v>
      </c>
      <c r="H78" s="22"/>
      <c r="I78" s="35"/>
      <c r="J78" s="36" t="str">
        <f>_xlfn.DISPIMG("ID_53E9240618D64863A9F35D530544BE70",1)</f>
        <v>=DISPIMG("ID_53E9240618D64863A9F35D530544BE70",1)</v>
      </c>
      <c r="K78" s="36"/>
      <c r="L78" s="36"/>
      <c r="M78" s="37"/>
    </row>
    <row r="79" ht="50" customHeight="1" spans="1:13">
      <c r="A79" s="17">
        <f t="shared" si="7"/>
        <v>76</v>
      </c>
      <c r="B79" s="18" t="s">
        <v>161</v>
      </c>
      <c r="C79" s="19" t="s">
        <v>140</v>
      </c>
      <c r="D79" s="20" t="s">
        <v>162</v>
      </c>
      <c r="E79" s="19" t="s">
        <v>88</v>
      </c>
      <c r="F79" s="19">
        <v>10</v>
      </c>
      <c r="G79" s="21">
        <v>4</v>
      </c>
      <c r="H79" s="22"/>
      <c r="I79" s="35"/>
      <c r="J79" s="36" t="str">
        <f>_xlfn.DISPIMG("ID_65830D42F07340CCAD81F0278A1DC67F",1)</f>
        <v>=DISPIMG("ID_65830D42F07340CCAD81F0278A1DC67F",1)</v>
      </c>
      <c r="K79" s="36"/>
      <c r="L79" s="36"/>
      <c r="M79" s="37"/>
    </row>
    <row r="80" ht="50" customHeight="1" spans="1:13">
      <c r="A80" s="17">
        <f t="shared" si="7"/>
        <v>77</v>
      </c>
      <c r="B80" s="18" t="s">
        <v>163</v>
      </c>
      <c r="C80" s="19" t="s">
        <v>140</v>
      </c>
      <c r="D80" s="20" t="s">
        <v>143</v>
      </c>
      <c r="E80" s="19" t="s">
        <v>88</v>
      </c>
      <c r="F80" s="19">
        <v>5</v>
      </c>
      <c r="G80" s="21">
        <v>18</v>
      </c>
      <c r="H80" s="22"/>
      <c r="I80" s="35"/>
      <c r="J80" s="36" t="str">
        <f>_xlfn.DISPIMG("ID_CFD8E9F2EA7047DBA9358D394E9C4393",1)</f>
        <v>=DISPIMG("ID_CFD8E9F2EA7047DBA9358D394E9C4393",1)</v>
      </c>
      <c r="K80" s="36"/>
      <c r="L80" s="36"/>
      <c r="M80" s="37"/>
    </row>
    <row r="81" ht="50" customHeight="1" spans="1:13">
      <c r="A81" s="17">
        <f t="shared" si="7"/>
        <v>78</v>
      </c>
      <c r="B81" s="18" t="s">
        <v>164</v>
      </c>
      <c r="C81" s="19" t="s">
        <v>140</v>
      </c>
      <c r="D81" s="20" t="s">
        <v>165</v>
      </c>
      <c r="E81" s="19" t="s">
        <v>88</v>
      </c>
      <c r="F81" s="19">
        <v>10</v>
      </c>
      <c r="G81" s="25">
        <v>3.5</v>
      </c>
      <c r="H81" s="22"/>
      <c r="I81" s="35"/>
      <c r="J81" s="38" t="str">
        <f>_xlfn.DISPIMG("ID_D5E5B791107A41F29D47E96738B027C4",1)</f>
        <v>=DISPIMG("ID_D5E5B791107A41F29D47E96738B027C4",1)</v>
      </c>
      <c r="K81" s="38"/>
      <c r="L81" s="38"/>
      <c r="M81" s="37"/>
    </row>
    <row r="82" ht="50" customHeight="1" spans="1:13">
      <c r="A82" s="17">
        <f t="shared" si="7"/>
        <v>79</v>
      </c>
      <c r="B82" s="18" t="s">
        <v>164</v>
      </c>
      <c r="C82" s="19" t="s">
        <v>140</v>
      </c>
      <c r="D82" s="20" t="s">
        <v>166</v>
      </c>
      <c r="E82" s="19" t="s">
        <v>146</v>
      </c>
      <c r="F82" s="19">
        <v>90</v>
      </c>
      <c r="G82" s="25">
        <v>50</v>
      </c>
      <c r="H82" s="22"/>
      <c r="I82" s="35"/>
      <c r="J82" s="38" t="str">
        <f>_xlfn.DISPIMG("ID_FA8C0FC153A64D088B446EEB37BF2ECC",1)</f>
        <v>=DISPIMG("ID_FA8C0FC153A64D088B446EEB37BF2ECC",1)</v>
      </c>
      <c r="K82" s="38"/>
      <c r="L82" s="38"/>
      <c r="M82" s="37"/>
    </row>
    <row r="83" ht="50" customHeight="1" spans="1:13">
      <c r="A83" s="17">
        <f t="shared" si="7"/>
        <v>80</v>
      </c>
      <c r="B83" s="18" t="s">
        <v>164</v>
      </c>
      <c r="C83" s="19" t="s">
        <v>140</v>
      </c>
      <c r="D83" s="20" t="s">
        <v>167</v>
      </c>
      <c r="E83" s="19" t="s">
        <v>88</v>
      </c>
      <c r="F83" s="19">
        <v>50</v>
      </c>
      <c r="G83" s="25">
        <v>9.5</v>
      </c>
      <c r="H83" s="22"/>
      <c r="I83" s="35"/>
      <c r="J83" s="38" t="str">
        <f>_xlfn.DISPIMG("ID_C3AAA03BDA0F4E05B880FD50E1BDF173",1)</f>
        <v>=DISPIMG("ID_C3AAA03BDA0F4E05B880FD50E1BDF173",1)</v>
      </c>
      <c r="K83" s="38"/>
      <c r="L83" s="38"/>
      <c r="M83" s="37"/>
    </row>
    <row r="84" ht="50" customHeight="1" spans="1:13">
      <c r="A84" s="17">
        <f t="shared" si="7"/>
        <v>81</v>
      </c>
      <c r="B84" s="18" t="s">
        <v>168</v>
      </c>
      <c r="C84" s="19" t="s">
        <v>140</v>
      </c>
      <c r="D84" s="20" t="s">
        <v>169</v>
      </c>
      <c r="E84" s="19" t="s">
        <v>88</v>
      </c>
      <c r="F84" s="19">
        <v>10</v>
      </c>
      <c r="G84" s="25">
        <v>50</v>
      </c>
      <c r="H84" s="22"/>
      <c r="I84" s="35"/>
      <c r="J84" s="38" t="str">
        <f>_xlfn.DISPIMG("ID_284D595C5DBC40C893F3BFF52718E7C5",1)</f>
        <v>=DISPIMG("ID_284D595C5DBC40C893F3BFF52718E7C5",1)</v>
      </c>
      <c r="K84" s="38"/>
      <c r="L84" s="38"/>
      <c r="M84" s="37"/>
    </row>
    <row r="85" ht="50" customHeight="1" spans="1:13">
      <c r="A85" s="17">
        <f t="shared" ref="A85:A94" si="8">ROW()-3</f>
        <v>82</v>
      </c>
      <c r="B85" s="18" t="s">
        <v>170</v>
      </c>
      <c r="C85" s="19" t="s">
        <v>140</v>
      </c>
      <c r="D85" s="20" t="s">
        <v>171</v>
      </c>
      <c r="E85" s="19" t="s">
        <v>88</v>
      </c>
      <c r="F85" s="19">
        <v>60</v>
      </c>
      <c r="G85" s="25">
        <v>2.5</v>
      </c>
      <c r="H85" s="22"/>
      <c r="I85" s="35"/>
      <c r="J85" s="51"/>
      <c r="K85" s="51"/>
      <c r="L85" s="38"/>
      <c r="M85" s="37"/>
    </row>
    <row r="86" ht="50" customHeight="1" spans="1:13">
      <c r="A86" s="17">
        <f t="shared" si="8"/>
        <v>83</v>
      </c>
      <c r="B86" s="18" t="s">
        <v>172</v>
      </c>
      <c r="C86" s="19" t="s">
        <v>140</v>
      </c>
      <c r="D86" s="20" t="s">
        <v>173</v>
      </c>
      <c r="E86" s="19" t="s">
        <v>31</v>
      </c>
      <c r="F86" s="19">
        <v>3600</v>
      </c>
      <c r="G86" s="25">
        <v>4.4</v>
      </c>
      <c r="H86" s="22"/>
      <c r="I86" s="35"/>
      <c r="J86" s="38" t="str">
        <f>_xlfn.DISPIMG("ID_FEEDFBD97B25412AB162158EF27A16D6",1)</f>
        <v>=DISPIMG("ID_FEEDFBD97B25412AB162158EF27A16D6",1)</v>
      </c>
      <c r="K86" s="38"/>
      <c r="L86" s="38"/>
      <c r="M86" s="37"/>
    </row>
    <row r="87" ht="50" customHeight="1" spans="1:13">
      <c r="A87" s="17">
        <f t="shared" si="8"/>
        <v>84</v>
      </c>
      <c r="B87" s="18" t="s">
        <v>174</v>
      </c>
      <c r="C87" s="23" t="s">
        <v>140</v>
      </c>
      <c r="D87" s="20" t="s">
        <v>143</v>
      </c>
      <c r="E87" s="19" t="s">
        <v>88</v>
      </c>
      <c r="F87" s="19">
        <v>20</v>
      </c>
      <c r="G87" s="25">
        <v>18</v>
      </c>
      <c r="H87" s="22"/>
      <c r="I87" s="35"/>
      <c r="J87" s="38" t="str">
        <f>_xlfn.DISPIMG("ID_03282BCA34B64DD7A8862693978DC46C",1)</f>
        <v>=DISPIMG("ID_03282BCA34B64DD7A8862693978DC46C",1)</v>
      </c>
      <c r="K87" s="38"/>
      <c r="L87" s="38"/>
      <c r="M87" s="37"/>
    </row>
    <row r="88" ht="50" customHeight="1" spans="1:13">
      <c r="A88" s="17">
        <f t="shared" si="8"/>
        <v>85</v>
      </c>
      <c r="B88" s="18" t="s">
        <v>175</v>
      </c>
      <c r="C88" s="23" t="s">
        <v>140</v>
      </c>
      <c r="D88" s="20" t="s">
        <v>176</v>
      </c>
      <c r="E88" s="19" t="s">
        <v>31</v>
      </c>
      <c r="F88" s="19">
        <v>100</v>
      </c>
      <c r="G88" s="25">
        <v>5</v>
      </c>
      <c r="H88" s="22"/>
      <c r="I88" s="35"/>
      <c r="J88" s="38" t="str">
        <f>_xlfn.DISPIMG("ID_900FCC9C702B4DCE9791CD9DCA27E8FB",1)</f>
        <v>=DISPIMG("ID_900FCC9C702B4DCE9791CD9DCA27E8FB",1)</v>
      </c>
      <c r="K88" s="38"/>
      <c r="L88" s="38"/>
      <c r="M88" s="37"/>
    </row>
    <row r="89" ht="50" customHeight="1" spans="1:13">
      <c r="A89" s="17">
        <f t="shared" si="8"/>
        <v>86</v>
      </c>
      <c r="B89" s="18" t="s">
        <v>177</v>
      </c>
      <c r="C89" s="19" t="s">
        <v>140</v>
      </c>
      <c r="D89" s="20" t="s">
        <v>178</v>
      </c>
      <c r="E89" s="19" t="s">
        <v>146</v>
      </c>
      <c r="F89" s="19">
        <v>20</v>
      </c>
      <c r="G89" s="25">
        <v>55</v>
      </c>
      <c r="H89" s="22"/>
      <c r="I89" s="35"/>
      <c r="J89" s="38"/>
      <c r="K89" s="38"/>
      <c r="L89" s="38"/>
      <c r="M89" s="37"/>
    </row>
    <row r="90" ht="50" customHeight="1" spans="1:13">
      <c r="A90" s="17">
        <f t="shared" si="8"/>
        <v>87</v>
      </c>
      <c r="B90" s="18" t="s">
        <v>179</v>
      </c>
      <c r="C90" s="19" t="s">
        <v>140</v>
      </c>
      <c r="D90" s="20" t="s">
        <v>180</v>
      </c>
      <c r="E90" s="19" t="s">
        <v>31</v>
      </c>
      <c r="F90" s="19">
        <v>10</v>
      </c>
      <c r="G90" s="21">
        <v>4</v>
      </c>
      <c r="H90" s="22"/>
      <c r="I90" s="35"/>
      <c r="J90" s="36" t="str">
        <f>_xlfn.DISPIMG("ID_10814463C3E34530971FC5A742070627",1)</f>
        <v>=DISPIMG("ID_10814463C3E34530971FC5A742070627",1)</v>
      </c>
      <c r="K90" s="36"/>
      <c r="L90" s="36"/>
      <c r="M90" s="37"/>
    </row>
    <row r="91" ht="50" customHeight="1" spans="1:13">
      <c r="A91" s="17">
        <f t="shared" si="8"/>
        <v>88</v>
      </c>
      <c r="B91" s="18" t="s">
        <v>181</v>
      </c>
      <c r="C91" s="23" t="s">
        <v>140</v>
      </c>
      <c r="D91" s="20" t="s">
        <v>143</v>
      </c>
      <c r="E91" s="19" t="s">
        <v>88</v>
      </c>
      <c r="F91" s="17">
        <v>20</v>
      </c>
      <c r="G91" s="21">
        <v>22</v>
      </c>
      <c r="H91" s="22"/>
      <c r="I91" s="35"/>
      <c r="J91" s="36"/>
      <c r="K91" s="36"/>
      <c r="L91" s="36"/>
      <c r="M91" s="37"/>
    </row>
    <row r="92" ht="50" customHeight="1" spans="1:13">
      <c r="A92" s="17">
        <f t="shared" si="8"/>
        <v>89</v>
      </c>
      <c r="B92" s="26" t="s">
        <v>182</v>
      </c>
      <c r="C92" s="47" t="s">
        <v>140</v>
      </c>
      <c r="D92" s="20" t="s">
        <v>183</v>
      </c>
      <c r="E92" s="19" t="s">
        <v>146</v>
      </c>
      <c r="F92" s="19">
        <v>100</v>
      </c>
      <c r="G92" s="25">
        <v>18</v>
      </c>
      <c r="H92" s="22"/>
      <c r="I92" s="35"/>
      <c r="J92" s="38" t="str">
        <f>_xlfn.DISPIMG("ID_28D2D4FF224B401CAACF6EC1AF4C117A",1)</f>
        <v>=DISPIMG("ID_28D2D4FF224B401CAACF6EC1AF4C117A",1)</v>
      </c>
      <c r="K92" s="38"/>
      <c r="L92" s="38"/>
      <c r="M92" s="37"/>
    </row>
    <row r="93" ht="50" customHeight="1" spans="1:13">
      <c r="A93" s="17">
        <f t="shared" si="8"/>
        <v>90</v>
      </c>
      <c r="B93" s="18" t="s">
        <v>184</v>
      </c>
      <c r="C93" s="23" t="s">
        <v>140</v>
      </c>
      <c r="D93" s="20" t="s">
        <v>185</v>
      </c>
      <c r="E93" s="19" t="s">
        <v>93</v>
      </c>
      <c r="F93" s="17">
        <v>450</v>
      </c>
      <c r="G93" s="21">
        <v>5</v>
      </c>
      <c r="H93" s="22"/>
      <c r="I93" s="35"/>
      <c r="J93" s="36"/>
      <c r="K93" s="36"/>
      <c r="L93" s="36"/>
      <c r="M93" s="37"/>
    </row>
    <row r="94" ht="50" customHeight="1" spans="1:14">
      <c r="A94" s="17">
        <f t="shared" si="8"/>
        <v>91</v>
      </c>
      <c r="B94" s="18" t="s">
        <v>186</v>
      </c>
      <c r="C94" s="19" t="s">
        <v>140</v>
      </c>
      <c r="D94" s="20" t="s">
        <v>183</v>
      </c>
      <c r="E94" s="19" t="s">
        <v>88</v>
      </c>
      <c r="F94" s="19">
        <v>40</v>
      </c>
      <c r="G94" s="25">
        <v>21.8</v>
      </c>
      <c r="H94" s="22"/>
      <c r="I94" s="35"/>
      <c r="J94" s="38" t="str">
        <f>_xlfn.DISPIMG("ID_2DEB314B06DD4F47A2D85F4D5C953D68",1)</f>
        <v>=DISPIMG("ID_2DEB314B06DD4F47A2D85F4D5C953D68",1)</v>
      </c>
      <c r="K94" s="38"/>
      <c r="L94" s="38"/>
      <c r="M94" s="37"/>
      <c r="N94" s="1"/>
    </row>
    <row r="95" ht="50" customHeight="1" spans="1:13">
      <c r="A95" s="17">
        <f t="shared" ref="A95:A104" si="9">ROW()-3</f>
        <v>92</v>
      </c>
      <c r="B95" s="18" t="s">
        <v>187</v>
      </c>
      <c r="C95" s="23" t="s">
        <v>140</v>
      </c>
      <c r="D95" s="20" t="s">
        <v>188</v>
      </c>
      <c r="E95" s="19" t="s">
        <v>146</v>
      </c>
      <c r="F95" s="19">
        <v>20</v>
      </c>
      <c r="G95" s="25">
        <v>186</v>
      </c>
      <c r="H95" s="22"/>
      <c r="I95" s="35"/>
      <c r="J95" s="51"/>
      <c r="K95" s="51"/>
      <c r="L95" s="38"/>
      <c r="M95" s="37"/>
    </row>
    <row r="96" ht="50" customHeight="1" spans="1:13">
      <c r="A96" s="17">
        <f t="shared" si="9"/>
        <v>93</v>
      </c>
      <c r="B96" s="18" t="s">
        <v>189</v>
      </c>
      <c r="C96" s="19" t="s">
        <v>140</v>
      </c>
      <c r="D96" s="20" t="s">
        <v>141</v>
      </c>
      <c r="E96" s="19" t="s">
        <v>88</v>
      </c>
      <c r="F96" s="19">
        <v>10</v>
      </c>
      <c r="G96" s="21">
        <v>48</v>
      </c>
      <c r="H96" s="22"/>
      <c r="I96" s="35"/>
      <c r="J96" s="36" t="str">
        <f>_xlfn.DISPIMG("ID_1D18711B937B4440BFF488842F6A0903",1)</f>
        <v>=DISPIMG("ID_1D18711B937B4440BFF488842F6A0903",1)</v>
      </c>
      <c r="K96" s="36"/>
      <c r="L96" s="36"/>
      <c r="M96" s="37"/>
    </row>
    <row r="97" ht="50" customHeight="1" spans="1:13">
      <c r="A97" s="17">
        <f t="shared" si="9"/>
        <v>94</v>
      </c>
      <c r="B97" s="18" t="s">
        <v>190</v>
      </c>
      <c r="C97" s="23" t="s">
        <v>140</v>
      </c>
      <c r="D97" s="20" t="s">
        <v>191</v>
      </c>
      <c r="E97" s="19" t="s">
        <v>88</v>
      </c>
      <c r="F97" s="19">
        <v>50</v>
      </c>
      <c r="G97" s="25">
        <v>2.5</v>
      </c>
      <c r="H97" s="22"/>
      <c r="I97" s="35"/>
      <c r="J97" s="38" t="str">
        <f>_xlfn.DISPIMG("ID_492F4A00960B4442B407B25948435D58",1)</f>
        <v>=DISPIMG("ID_492F4A00960B4442B407B25948435D58",1)</v>
      </c>
      <c r="K97" s="38"/>
      <c r="L97" s="38"/>
      <c r="M97" s="37"/>
    </row>
    <row r="98" ht="50" customHeight="1" spans="1:13">
      <c r="A98" s="17">
        <f t="shared" si="9"/>
        <v>95</v>
      </c>
      <c r="B98" s="18" t="s">
        <v>192</v>
      </c>
      <c r="C98" s="23" t="s">
        <v>140</v>
      </c>
      <c r="D98" s="48" t="s">
        <v>145</v>
      </c>
      <c r="E98" s="49" t="s">
        <v>146</v>
      </c>
      <c r="F98" s="49">
        <v>70</v>
      </c>
      <c r="G98" s="25">
        <v>60</v>
      </c>
      <c r="H98" s="22"/>
      <c r="I98" s="35"/>
      <c r="J98" s="52" t="str">
        <f>_xlfn.DISPIMG("ID_A2BA684C9C1B4481B111D07E7341F7C2",1)</f>
        <v>=DISPIMG("ID_A2BA684C9C1B4481B111D07E7341F7C2",1)</v>
      </c>
      <c r="K98" s="52"/>
      <c r="L98" s="52"/>
      <c r="M98" s="53"/>
    </row>
    <row r="99" ht="50" customHeight="1" spans="1:13">
      <c r="A99" s="17">
        <f t="shared" si="9"/>
        <v>96</v>
      </c>
      <c r="B99" s="18" t="s">
        <v>193</v>
      </c>
      <c r="C99" s="23" t="s">
        <v>140</v>
      </c>
      <c r="D99" s="20" t="s">
        <v>194</v>
      </c>
      <c r="E99" s="19" t="s">
        <v>88</v>
      </c>
      <c r="F99" s="19">
        <v>76</v>
      </c>
      <c r="G99" s="50">
        <v>20</v>
      </c>
      <c r="H99" s="22"/>
      <c r="I99" s="35"/>
      <c r="J99" s="38" t="str">
        <f>_xlfn.DISPIMG("ID_1DD1AF7B0CE14A7B9EDDB4F498136FEE",1)</f>
        <v>=DISPIMG("ID_1DD1AF7B0CE14A7B9EDDB4F498136FEE",1)</v>
      </c>
      <c r="K99" s="38"/>
      <c r="L99" s="38"/>
      <c r="M99" s="37"/>
    </row>
    <row r="100" ht="50" customHeight="1" spans="1:13">
      <c r="A100" s="17">
        <f t="shared" si="9"/>
        <v>97</v>
      </c>
      <c r="B100" s="18" t="s">
        <v>195</v>
      </c>
      <c r="C100" s="19" t="s">
        <v>140</v>
      </c>
      <c r="D100" s="20" t="s">
        <v>141</v>
      </c>
      <c r="E100" s="19" t="s">
        <v>88</v>
      </c>
      <c r="F100" s="19">
        <v>10</v>
      </c>
      <c r="G100" s="25">
        <v>22.5</v>
      </c>
      <c r="H100" s="22"/>
      <c r="I100" s="35"/>
      <c r="J100" s="38" t="str">
        <f>_xlfn.DISPIMG("ID_DFE0ECEF39684F39965C0E80A2AC1BB4",1)</f>
        <v>=DISPIMG("ID_DFE0ECEF39684F39965C0E80A2AC1BB4",1)</v>
      </c>
      <c r="K100" s="38"/>
      <c r="L100" s="38"/>
      <c r="M100" s="37"/>
    </row>
    <row r="101" ht="50" customHeight="1" spans="1:13">
      <c r="A101" s="17">
        <f t="shared" si="9"/>
        <v>98</v>
      </c>
      <c r="B101" s="18" t="s">
        <v>196</v>
      </c>
      <c r="C101" s="23" t="s">
        <v>140</v>
      </c>
      <c r="D101" s="20" t="s">
        <v>197</v>
      </c>
      <c r="E101" s="19" t="s">
        <v>66</v>
      </c>
      <c r="F101" s="19">
        <v>50</v>
      </c>
      <c r="G101" s="25">
        <v>1.5</v>
      </c>
      <c r="H101" s="22"/>
      <c r="I101" s="35"/>
      <c r="J101" s="38" t="str">
        <f>_xlfn.DISPIMG("ID_791529999DA0443599F813D2BAED4E72",1)</f>
        <v>=DISPIMG("ID_791529999DA0443599F813D2BAED4E72",1)</v>
      </c>
      <c r="K101" s="38"/>
      <c r="L101" s="38"/>
      <c r="M101" s="37"/>
    </row>
    <row r="102" ht="50" customHeight="1" spans="1:13">
      <c r="A102" s="17">
        <f t="shared" si="9"/>
        <v>99</v>
      </c>
      <c r="B102" s="18" t="s">
        <v>198</v>
      </c>
      <c r="C102" s="19" t="s">
        <v>140</v>
      </c>
      <c r="D102" s="20" t="s">
        <v>141</v>
      </c>
      <c r="E102" s="19" t="s">
        <v>88</v>
      </c>
      <c r="F102" s="19">
        <v>10</v>
      </c>
      <c r="G102" s="25">
        <v>19</v>
      </c>
      <c r="H102" s="22"/>
      <c r="I102" s="35"/>
      <c r="J102" s="38" t="str">
        <f>_xlfn.DISPIMG("ID_EFFE0F7E79FC4BFFA0F44E028A912F66",1)</f>
        <v>=DISPIMG("ID_EFFE0F7E79FC4BFFA0F44E028A912F66",1)</v>
      </c>
      <c r="K102" s="38"/>
      <c r="L102" s="38"/>
      <c r="M102" s="37"/>
    </row>
    <row r="103" ht="50" customHeight="1" spans="1:13">
      <c r="A103" s="17">
        <f t="shared" si="9"/>
        <v>100</v>
      </c>
      <c r="B103" s="18" t="s">
        <v>199</v>
      </c>
      <c r="C103" s="19" t="s">
        <v>140</v>
      </c>
      <c r="D103" s="20" t="s">
        <v>200</v>
      </c>
      <c r="E103" s="19" t="s">
        <v>88</v>
      </c>
      <c r="F103" s="19">
        <v>10</v>
      </c>
      <c r="G103" s="25">
        <v>70</v>
      </c>
      <c r="H103" s="22"/>
      <c r="I103" s="35"/>
      <c r="J103" s="38"/>
      <c r="K103" s="38"/>
      <c r="L103" s="38"/>
      <c r="M103" s="37"/>
    </row>
    <row r="104" ht="50" customHeight="1" spans="1:13">
      <c r="A104" s="17">
        <f t="shared" si="9"/>
        <v>101</v>
      </c>
      <c r="B104" s="18" t="s">
        <v>201</v>
      </c>
      <c r="C104" s="23" t="s">
        <v>140</v>
      </c>
      <c r="D104" s="20" t="s">
        <v>202</v>
      </c>
      <c r="E104" s="19" t="s">
        <v>31</v>
      </c>
      <c r="F104" s="19">
        <v>10</v>
      </c>
      <c r="G104" s="25">
        <v>58</v>
      </c>
      <c r="H104" s="22"/>
      <c r="I104" s="35"/>
      <c r="J104" s="38" t="str">
        <f>_xlfn.DISPIMG("ID_79E2464998374452BBE9041BAE8E28EA",1)</f>
        <v>=DISPIMG("ID_79E2464998374452BBE9041BAE8E28EA",1)</v>
      </c>
      <c r="K104" s="38"/>
      <c r="L104" s="38"/>
      <c r="M104" s="37"/>
    </row>
    <row r="105" ht="50" customHeight="1" spans="1:13">
      <c r="A105" s="17">
        <f t="shared" ref="A105:A114" si="10">ROW()-3</f>
        <v>102</v>
      </c>
      <c r="B105" s="18" t="s">
        <v>201</v>
      </c>
      <c r="C105" s="23" t="s">
        <v>140</v>
      </c>
      <c r="D105" s="20" t="s">
        <v>36</v>
      </c>
      <c r="E105" s="19" t="s">
        <v>31</v>
      </c>
      <c r="F105" s="19">
        <v>100</v>
      </c>
      <c r="G105" s="25">
        <v>19</v>
      </c>
      <c r="H105" s="22"/>
      <c r="I105" s="35"/>
      <c r="J105" s="38" t="str">
        <f>_xlfn.DISPIMG("ID_70806C786F464C198A7D795FC30DCE53",1)</f>
        <v>=DISPIMG("ID_70806C786F464C198A7D795FC30DCE53",1)</v>
      </c>
      <c r="K105" s="38"/>
      <c r="L105" s="38"/>
      <c r="M105" s="37"/>
    </row>
    <row r="106" ht="50" customHeight="1" spans="1:13">
      <c r="A106" s="17">
        <f t="shared" si="10"/>
        <v>103</v>
      </c>
      <c r="B106" s="18" t="s">
        <v>203</v>
      </c>
      <c r="C106" s="23" t="s">
        <v>140</v>
      </c>
      <c r="D106" s="20" t="s">
        <v>204</v>
      </c>
      <c r="E106" s="19" t="s">
        <v>88</v>
      </c>
      <c r="F106" s="19">
        <v>40</v>
      </c>
      <c r="G106" s="25">
        <v>18</v>
      </c>
      <c r="H106" s="22"/>
      <c r="I106" s="35"/>
      <c r="J106" s="38" t="str">
        <f>_xlfn.DISPIMG("ID_F6D1D175AE0B497EA4236F02D4CFD9BD",1)</f>
        <v>=DISPIMG("ID_F6D1D175AE0B497EA4236F02D4CFD9BD",1)</v>
      </c>
      <c r="K106" s="38"/>
      <c r="L106" s="38"/>
      <c r="M106" s="37"/>
    </row>
    <row r="107" ht="50" customHeight="1" spans="1:13">
      <c r="A107" s="17">
        <f t="shared" si="10"/>
        <v>104</v>
      </c>
      <c r="B107" s="18" t="s">
        <v>205</v>
      </c>
      <c r="C107" s="19" t="s">
        <v>140</v>
      </c>
      <c r="D107" s="20" t="s">
        <v>206</v>
      </c>
      <c r="E107" s="19" t="s">
        <v>88</v>
      </c>
      <c r="F107" s="19">
        <v>10</v>
      </c>
      <c r="G107" s="25">
        <v>9</v>
      </c>
      <c r="H107" s="22"/>
      <c r="I107" s="35"/>
      <c r="J107" s="38" t="str">
        <f>_xlfn.DISPIMG("ID_B53C97EC70DC41BA907BF12CCEF18FB9",1)</f>
        <v>=DISPIMG("ID_B53C97EC70DC41BA907BF12CCEF18FB9",1)</v>
      </c>
      <c r="K107" s="38"/>
      <c r="L107" s="38"/>
      <c r="M107" s="37"/>
    </row>
    <row r="108" ht="50" customHeight="1" spans="1:13">
      <c r="A108" s="17">
        <f t="shared" si="10"/>
        <v>105</v>
      </c>
      <c r="B108" s="26" t="s">
        <v>207</v>
      </c>
      <c r="C108" s="47" t="s">
        <v>140</v>
      </c>
      <c r="D108" s="20" t="s">
        <v>208</v>
      </c>
      <c r="E108" s="19" t="s">
        <v>88</v>
      </c>
      <c r="F108" s="19">
        <v>80</v>
      </c>
      <c r="G108" s="25">
        <v>49</v>
      </c>
      <c r="H108" s="22"/>
      <c r="I108" s="35"/>
      <c r="J108" s="38" t="str">
        <f>_xlfn.DISPIMG("ID_E0E87AFC6FD14FE7ADD79F3C89ED6DA7",1)</f>
        <v>=DISPIMG("ID_E0E87AFC6FD14FE7ADD79F3C89ED6DA7",1)</v>
      </c>
      <c r="K108" s="38"/>
      <c r="L108" s="38"/>
      <c r="M108" s="37"/>
    </row>
    <row r="109" ht="50" customHeight="1" spans="1:13">
      <c r="A109" s="17">
        <f t="shared" si="10"/>
        <v>106</v>
      </c>
      <c r="B109" s="18" t="s">
        <v>209</v>
      </c>
      <c r="C109" s="19" t="s">
        <v>140</v>
      </c>
      <c r="D109" s="20" t="s">
        <v>210</v>
      </c>
      <c r="E109" s="19" t="s">
        <v>146</v>
      </c>
      <c r="F109" s="19">
        <v>10</v>
      </c>
      <c r="G109" s="21">
        <v>62</v>
      </c>
      <c r="H109" s="22"/>
      <c r="I109" s="35"/>
      <c r="J109" s="36"/>
      <c r="K109" s="36"/>
      <c r="L109" s="36"/>
      <c r="M109" s="37"/>
    </row>
    <row r="110" ht="50" customHeight="1" spans="1:13">
      <c r="A110" s="17">
        <f t="shared" si="10"/>
        <v>107</v>
      </c>
      <c r="B110" s="18" t="s">
        <v>211</v>
      </c>
      <c r="C110" s="19" t="s">
        <v>140</v>
      </c>
      <c r="D110" s="20" t="s">
        <v>212</v>
      </c>
      <c r="E110" s="19" t="s">
        <v>146</v>
      </c>
      <c r="F110" s="19">
        <v>10</v>
      </c>
      <c r="G110" s="21">
        <v>58</v>
      </c>
      <c r="H110" s="22"/>
      <c r="I110" s="35"/>
      <c r="J110" s="36" t="str">
        <f>_xlfn.DISPIMG("ID_8FDF00CA2E3E406D982D962394F787D2",1)</f>
        <v>=DISPIMG("ID_8FDF00CA2E3E406D982D962394F787D2",1)</v>
      </c>
      <c r="K110" s="36"/>
      <c r="L110" s="36"/>
      <c r="M110" s="37"/>
    </row>
    <row r="111" ht="50" customHeight="1" spans="1:13">
      <c r="A111" s="17">
        <f t="shared" si="10"/>
        <v>108</v>
      </c>
      <c r="B111" s="18" t="s">
        <v>213</v>
      </c>
      <c r="C111" s="19" t="s">
        <v>140</v>
      </c>
      <c r="D111" s="20" t="s">
        <v>214</v>
      </c>
      <c r="E111" s="19" t="s">
        <v>88</v>
      </c>
      <c r="F111" s="19">
        <v>10</v>
      </c>
      <c r="G111" s="25">
        <v>45</v>
      </c>
      <c r="H111" s="22"/>
      <c r="I111" s="35"/>
      <c r="J111" s="38" t="str">
        <f>_xlfn.DISPIMG("ID_3BB157A57CA44CE68EC35D6040AF26B1",1)</f>
        <v>=DISPIMG("ID_3BB157A57CA44CE68EC35D6040AF26B1",1)</v>
      </c>
      <c r="K111" s="38"/>
      <c r="L111" s="38"/>
      <c r="M111" s="37"/>
    </row>
    <row r="112" ht="50" customHeight="1" spans="1:13">
      <c r="A112" s="17">
        <f t="shared" si="10"/>
        <v>109</v>
      </c>
      <c r="B112" s="18" t="s">
        <v>215</v>
      </c>
      <c r="C112" s="23" t="s">
        <v>140</v>
      </c>
      <c r="D112" s="20" t="s">
        <v>216</v>
      </c>
      <c r="E112" s="19" t="s">
        <v>146</v>
      </c>
      <c r="F112" s="19">
        <v>5</v>
      </c>
      <c r="G112" s="25">
        <v>50</v>
      </c>
      <c r="H112" s="22"/>
      <c r="I112" s="35"/>
      <c r="J112" s="38" t="str">
        <f>_xlfn.DISPIMG("ID_1C15F29281F5495685181EB3F5F05C3D",1)</f>
        <v>=DISPIMG("ID_1C15F29281F5495685181EB3F5F05C3D",1)</v>
      </c>
      <c r="K112" s="38"/>
      <c r="L112" s="38"/>
      <c r="M112" s="37"/>
    </row>
    <row r="113" ht="50" customHeight="1" spans="1:13">
      <c r="A113" s="17">
        <f t="shared" si="10"/>
        <v>110</v>
      </c>
      <c r="B113" s="18" t="s">
        <v>217</v>
      </c>
      <c r="C113" s="23" t="s">
        <v>140</v>
      </c>
      <c r="D113" s="20" t="s">
        <v>218</v>
      </c>
      <c r="E113" s="19" t="s">
        <v>88</v>
      </c>
      <c r="F113" s="19">
        <v>140</v>
      </c>
      <c r="G113" s="25">
        <v>8.8</v>
      </c>
      <c r="H113" s="22"/>
      <c r="I113" s="35"/>
      <c r="J113" s="38" t="str">
        <f>_xlfn.DISPIMG("ID_A425A1AF3DF14D419131D88865767BB2",1)</f>
        <v>=DISPIMG("ID_A425A1AF3DF14D419131D88865767BB2",1)</v>
      </c>
      <c r="K113" s="38"/>
      <c r="L113" s="38"/>
      <c r="M113" s="37"/>
    </row>
    <row r="114" ht="50" customHeight="1" spans="1:13">
      <c r="A114" s="17">
        <f t="shared" si="10"/>
        <v>111</v>
      </c>
      <c r="B114" s="18" t="s">
        <v>219</v>
      </c>
      <c r="C114" s="23" t="s">
        <v>140</v>
      </c>
      <c r="D114" s="20" t="s">
        <v>220</v>
      </c>
      <c r="E114" s="19" t="s">
        <v>146</v>
      </c>
      <c r="F114" s="19">
        <v>20</v>
      </c>
      <c r="G114" s="25">
        <v>17.5</v>
      </c>
      <c r="H114" s="22"/>
      <c r="I114" s="35"/>
      <c r="J114" s="38" t="str">
        <f>_xlfn.DISPIMG("ID_5BDFA403C887433F8E4E0B7142872B7D",1)</f>
        <v>=DISPIMG("ID_5BDFA403C887433F8E4E0B7142872B7D",1)</v>
      </c>
      <c r="K114" s="38"/>
      <c r="L114" s="38"/>
      <c r="M114" s="37"/>
    </row>
    <row r="115" ht="50" customHeight="1" spans="1:13">
      <c r="A115" s="17">
        <f t="shared" ref="A115:A124" si="11">ROW()-3</f>
        <v>112</v>
      </c>
      <c r="B115" s="18" t="s">
        <v>221</v>
      </c>
      <c r="C115" s="23" t="s">
        <v>140</v>
      </c>
      <c r="D115" s="20" t="s">
        <v>222</v>
      </c>
      <c r="E115" s="19" t="s">
        <v>88</v>
      </c>
      <c r="F115" s="19">
        <v>100</v>
      </c>
      <c r="G115" s="25">
        <v>2.8</v>
      </c>
      <c r="H115" s="22"/>
      <c r="I115" s="35"/>
      <c r="J115" s="51"/>
      <c r="K115" s="51"/>
      <c r="L115" s="38"/>
      <c r="M115" s="37"/>
    </row>
    <row r="116" ht="50" customHeight="1" spans="1:13">
      <c r="A116" s="17">
        <f t="shared" si="11"/>
        <v>113</v>
      </c>
      <c r="B116" s="18" t="s">
        <v>223</v>
      </c>
      <c r="C116" s="19" t="s">
        <v>140</v>
      </c>
      <c r="D116" s="20" t="s">
        <v>224</v>
      </c>
      <c r="E116" s="19" t="s">
        <v>88</v>
      </c>
      <c r="F116" s="19">
        <v>10</v>
      </c>
      <c r="G116" s="21">
        <v>16.2</v>
      </c>
      <c r="H116" s="22"/>
      <c r="I116" s="35"/>
      <c r="J116" s="36" t="str">
        <f>_xlfn.DISPIMG("ID_663AB3ABA19541D1BEEA5B88A126617E",1)</f>
        <v>=DISPIMG("ID_663AB3ABA19541D1BEEA5B88A126617E",1)</v>
      </c>
      <c r="K116" s="36"/>
      <c r="L116" s="36"/>
      <c r="M116" s="37"/>
    </row>
    <row r="117" ht="50" customHeight="1" spans="1:13">
      <c r="A117" s="17">
        <f t="shared" si="11"/>
        <v>114</v>
      </c>
      <c r="B117" s="18" t="s">
        <v>225</v>
      </c>
      <c r="C117" s="19" t="s">
        <v>226</v>
      </c>
      <c r="D117" s="20" t="s">
        <v>227</v>
      </c>
      <c r="E117" s="19" t="s">
        <v>76</v>
      </c>
      <c r="F117" s="19">
        <v>10</v>
      </c>
      <c r="G117" s="25">
        <v>1.7</v>
      </c>
      <c r="H117" s="22"/>
      <c r="I117" s="35"/>
      <c r="J117" s="38" t="str">
        <f>_xlfn.DISPIMG("ID_337DEFF493174AB1A7A6AFBD2CC619FB",1)</f>
        <v>=DISPIMG("ID_337DEFF493174AB1A7A6AFBD2CC619FB",1)</v>
      </c>
      <c r="K117" s="38"/>
      <c r="L117" s="38"/>
      <c r="M117" s="37"/>
    </row>
    <row r="118" ht="50" customHeight="1" spans="1:13">
      <c r="A118" s="17">
        <f t="shared" si="11"/>
        <v>115</v>
      </c>
      <c r="B118" s="18" t="s">
        <v>228</v>
      </c>
      <c r="C118" s="19" t="s">
        <v>226</v>
      </c>
      <c r="D118" s="20" t="s">
        <v>229</v>
      </c>
      <c r="E118" s="19" t="s">
        <v>76</v>
      </c>
      <c r="F118" s="19">
        <v>10</v>
      </c>
      <c r="G118" s="25">
        <v>2.8</v>
      </c>
      <c r="H118" s="22"/>
      <c r="I118" s="35"/>
      <c r="J118" s="38" t="str">
        <f>_xlfn.DISPIMG("ID_7B3F4DEB898A49B387821C031C5D481D",1)</f>
        <v>=DISPIMG("ID_7B3F4DEB898A49B387821C031C5D481D",1)</v>
      </c>
      <c r="K118" s="38"/>
      <c r="L118" s="38"/>
      <c r="M118" s="37"/>
    </row>
    <row r="119" ht="50" customHeight="1" spans="1:13">
      <c r="A119" s="17">
        <f t="shared" si="11"/>
        <v>116</v>
      </c>
      <c r="B119" s="18" t="s">
        <v>230</v>
      </c>
      <c r="C119" s="19" t="s">
        <v>226</v>
      </c>
      <c r="D119" s="20" t="s">
        <v>229</v>
      </c>
      <c r="E119" s="19" t="s">
        <v>76</v>
      </c>
      <c r="F119" s="19">
        <v>10</v>
      </c>
      <c r="G119" s="25">
        <v>2.8</v>
      </c>
      <c r="H119" s="22"/>
      <c r="I119" s="35"/>
      <c r="J119" s="38" t="str">
        <f>_xlfn.DISPIMG("ID_7B3F4DEB898A49B387821C031C5D481D",1)</f>
        <v>=DISPIMG("ID_7B3F4DEB898A49B387821C031C5D481D",1)</v>
      </c>
      <c r="K119" s="38"/>
      <c r="L119" s="38"/>
      <c r="M119" s="37"/>
    </row>
    <row r="120" ht="50" customHeight="1" spans="1:13">
      <c r="A120" s="17">
        <f t="shared" si="11"/>
        <v>117</v>
      </c>
      <c r="B120" s="18" t="s">
        <v>231</v>
      </c>
      <c r="C120" s="19" t="s">
        <v>226</v>
      </c>
      <c r="D120" s="20" t="s">
        <v>229</v>
      </c>
      <c r="E120" s="19" t="s">
        <v>76</v>
      </c>
      <c r="F120" s="19">
        <v>10</v>
      </c>
      <c r="G120" s="25">
        <v>2.8</v>
      </c>
      <c r="H120" s="22"/>
      <c r="I120" s="35"/>
      <c r="J120" s="38" t="str">
        <f>_xlfn.DISPIMG("ID_7B3F4DEB898A49B387821C031C5D481D",1)</f>
        <v>=DISPIMG("ID_7B3F4DEB898A49B387821C031C5D481D",1)</v>
      </c>
      <c r="K120" s="38"/>
      <c r="L120" s="38"/>
      <c r="M120" s="37"/>
    </row>
    <row r="121" ht="50" customHeight="1" spans="1:13">
      <c r="A121" s="17">
        <f t="shared" si="11"/>
        <v>118</v>
      </c>
      <c r="B121" s="18" t="s">
        <v>232</v>
      </c>
      <c r="C121" s="19" t="s">
        <v>226</v>
      </c>
      <c r="D121" s="20" t="s">
        <v>233</v>
      </c>
      <c r="E121" s="19" t="s">
        <v>76</v>
      </c>
      <c r="F121" s="19">
        <v>10</v>
      </c>
      <c r="G121" s="25">
        <v>1.8</v>
      </c>
      <c r="H121" s="22"/>
      <c r="I121" s="35"/>
      <c r="J121" s="38" t="str">
        <f>_xlfn.DISPIMG("ID_341E1E5C01554AFA8E94040C046184E0",1)</f>
        <v>=DISPIMG("ID_341E1E5C01554AFA8E94040C046184E0",1)</v>
      </c>
      <c r="K121" s="38"/>
      <c r="L121" s="38"/>
      <c r="M121" s="37"/>
    </row>
    <row r="122" ht="50" customHeight="1" spans="1:13">
      <c r="A122" s="17">
        <f t="shared" si="11"/>
        <v>119</v>
      </c>
      <c r="B122" s="18" t="s">
        <v>226</v>
      </c>
      <c r="C122" s="19" t="s">
        <v>226</v>
      </c>
      <c r="D122" s="20" t="s">
        <v>234</v>
      </c>
      <c r="E122" s="19" t="s">
        <v>76</v>
      </c>
      <c r="F122" s="19">
        <v>10</v>
      </c>
      <c r="G122" s="21">
        <v>3.2</v>
      </c>
      <c r="H122" s="22"/>
      <c r="I122" s="35"/>
      <c r="J122" s="36" t="str">
        <f>_xlfn.DISPIMG("ID_E8A39F08746246E9A093E0A427DFCA90",1)</f>
        <v>=DISPIMG("ID_E8A39F08746246E9A093E0A427DFCA90",1)</v>
      </c>
      <c r="K122" s="36"/>
      <c r="L122" s="36"/>
      <c r="M122" s="37"/>
    </row>
    <row r="123" ht="50" customHeight="1" spans="1:13">
      <c r="A123" s="17">
        <f t="shared" si="11"/>
        <v>120</v>
      </c>
      <c r="B123" s="18" t="s">
        <v>226</v>
      </c>
      <c r="C123" s="23" t="s">
        <v>226</v>
      </c>
      <c r="D123" s="20" t="s">
        <v>229</v>
      </c>
      <c r="E123" s="19" t="s">
        <v>76</v>
      </c>
      <c r="F123" s="19">
        <v>50</v>
      </c>
      <c r="G123" s="25">
        <v>2.8</v>
      </c>
      <c r="H123" s="22"/>
      <c r="I123" s="35"/>
      <c r="J123" s="38" t="str">
        <f>_xlfn.DISPIMG("ID_7B3F4DEB898A49B387821C031C5D481D",1)</f>
        <v>=DISPIMG("ID_7B3F4DEB898A49B387821C031C5D481D",1)</v>
      </c>
      <c r="K123" s="39" t="s">
        <v>43</v>
      </c>
      <c r="L123" s="39" t="s">
        <v>43</v>
      </c>
      <c r="M123" s="37"/>
    </row>
    <row r="124" s="1" customFormat="1" ht="50" customHeight="1" spans="1:13">
      <c r="A124" s="30">
        <f t="shared" si="11"/>
        <v>121</v>
      </c>
      <c r="B124" s="18" t="s">
        <v>235</v>
      </c>
      <c r="C124" s="18" t="s">
        <v>226</v>
      </c>
      <c r="D124" s="26" t="s">
        <v>236</v>
      </c>
      <c r="E124" s="18" t="s">
        <v>76</v>
      </c>
      <c r="F124" s="18">
        <v>150</v>
      </c>
      <c r="G124" s="25">
        <v>3.2</v>
      </c>
      <c r="H124" s="22"/>
      <c r="I124" s="44"/>
      <c r="J124" s="45" t="str">
        <f>_xlfn.DISPIMG("ID_D28F4C66F3A745F2AD55207885ABCBE7",1)</f>
        <v>=DISPIMG("ID_D28F4C66F3A745F2AD55207885ABCBE7",1)</v>
      </c>
      <c r="K124" s="45"/>
      <c r="L124" s="54" t="s">
        <v>43</v>
      </c>
      <c r="M124" s="55"/>
    </row>
    <row r="125" ht="50" customHeight="1" spans="1:13">
      <c r="A125" s="17">
        <f t="shared" ref="A125:A134" si="12">ROW()-3</f>
        <v>122</v>
      </c>
      <c r="B125" s="18" t="s">
        <v>237</v>
      </c>
      <c r="C125" s="23" t="s">
        <v>226</v>
      </c>
      <c r="D125" s="20" t="s">
        <v>238</v>
      </c>
      <c r="E125" s="19" t="s">
        <v>76</v>
      </c>
      <c r="F125" s="19">
        <v>100</v>
      </c>
      <c r="G125" s="25">
        <v>1</v>
      </c>
      <c r="H125" s="22"/>
      <c r="I125" s="35"/>
      <c r="J125" s="38" t="str">
        <f>_xlfn.DISPIMG("ID_804EBB7873F14AACA06D9409B4FB18D3",1)</f>
        <v>=DISPIMG("ID_804EBB7873F14AACA06D9409B4FB18D3",1)</v>
      </c>
      <c r="K125" s="38"/>
      <c r="L125" s="38"/>
      <c r="M125" s="37"/>
    </row>
    <row r="126" ht="50" customHeight="1" spans="1:13">
      <c r="A126" s="17">
        <f t="shared" si="12"/>
        <v>123</v>
      </c>
      <c r="B126" s="18" t="s">
        <v>239</v>
      </c>
      <c r="C126" s="19" t="s">
        <v>240</v>
      </c>
      <c r="D126" s="20" t="s">
        <v>241</v>
      </c>
      <c r="E126" s="19" t="s">
        <v>51</v>
      </c>
      <c r="F126" s="19">
        <v>10</v>
      </c>
      <c r="G126" s="25">
        <v>25</v>
      </c>
      <c r="H126" s="22"/>
      <c r="I126" s="35"/>
      <c r="J126" s="38"/>
      <c r="K126" s="38"/>
      <c r="L126" s="38"/>
      <c r="M126" s="37"/>
    </row>
    <row r="127" ht="50" customHeight="1" spans="1:13">
      <c r="A127" s="17">
        <f t="shared" si="12"/>
        <v>124</v>
      </c>
      <c r="B127" s="18" t="s">
        <v>239</v>
      </c>
      <c r="C127" s="19" t="s">
        <v>240</v>
      </c>
      <c r="D127" s="20" t="s">
        <v>242</v>
      </c>
      <c r="E127" s="19" t="s">
        <v>51</v>
      </c>
      <c r="F127" s="19">
        <v>20</v>
      </c>
      <c r="G127" s="21">
        <v>157</v>
      </c>
      <c r="H127" s="22"/>
      <c r="I127" s="35"/>
      <c r="J127" s="36" t="str">
        <f>_xlfn.DISPIMG("ID_0F2E181751384CD6A50C9958C0B1F00A",1)</f>
        <v>=DISPIMG("ID_0F2E181751384CD6A50C9958C0B1F00A",1)</v>
      </c>
      <c r="K127" s="39" t="s">
        <v>43</v>
      </c>
      <c r="L127" s="36"/>
      <c r="M127" s="37"/>
    </row>
    <row r="128" ht="50" customHeight="1" spans="1:13">
      <c r="A128" s="17">
        <f t="shared" si="12"/>
        <v>125</v>
      </c>
      <c r="B128" s="18" t="s">
        <v>243</v>
      </c>
      <c r="C128" s="19" t="s">
        <v>240</v>
      </c>
      <c r="D128" s="20" t="s">
        <v>244</v>
      </c>
      <c r="E128" s="19" t="s">
        <v>51</v>
      </c>
      <c r="F128" s="19">
        <v>10</v>
      </c>
      <c r="G128" s="25">
        <v>3.2</v>
      </c>
      <c r="H128" s="22"/>
      <c r="I128" s="35"/>
      <c r="J128" s="38" t="str">
        <f>_xlfn.DISPIMG("ID_E2251DB73BE94AEA81E602017FC1335E",1)</f>
        <v>=DISPIMG("ID_E2251DB73BE94AEA81E602017FC1335E",1)</v>
      </c>
      <c r="K128" s="38"/>
      <c r="L128" s="38"/>
      <c r="M128" s="37"/>
    </row>
    <row r="129" ht="50" customHeight="1" spans="1:13">
      <c r="A129" s="17">
        <f t="shared" si="12"/>
        <v>126</v>
      </c>
      <c r="B129" s="18" t="s">
        <v>245</v>
      </c>
      <c r="C129" s="23" t="s">
        <v>240</v>
      </c>
      <c r="D129" s="24" t="s">
        <v>246</v>
      </c>
      <c r="E129" s="17" t="s">
        <v>51</v>
      </c>
      <c r="F129" s="17">
        <v>20</v>
      </c>
      <c r="G129" s="21">
        <v>35</v>
      </c>
      <c r="H129" s="22"/>
      <c r="I129" s="35"/>
      <c r="J129" s="36"/>
      <c r="K129" s="39" t="s">
        <v>43</v>
      </c>
      <c r="L129" s="36"/>
      <c r="M129" s="37"/>
    </row>
    <row r="130" ht="50" customHeight="1" spans="1:13">
      <c r="A130" s="17">
        <f t="shared" si="12"/>
        <v>127</v>
      </c>
      <c r="B130" s="18" t="s">
        <v>247</v>
      </c>
      <c r="C130" s="23" t="s">
        <v>240</v>
      </c>
      <c r="D130" s="20" t="s">
        <v>248</v>
      </c>
      <c r="E130" s="19" t="s">
        <v>51</v>
      </c>
      <c r="F130" s="19">
        <v>5</v>
      </c>
      <c r="G130" s="25">
        <v>3.5</v>
      </c>
      <c r="H130" s="22"/>
      <c r="I130" s="35"/>
      <c r="J130" s="38" t="str">
        <f>_xlfn.DISPIMG("ID_510542B3072743938FB8AF68F70A0248",1)</f>
        <v>=DISPIMG("ID_510542B3072743938FB8AF68F70A0248",1)</v>
      </c>
      <c r="K130" s="39" t="s">
        <v>43</v>
      </c>
      <c r="L130" s="39" t="s">
        <v>43</v>
      </c>
      <c r="M130" s="37"/>
    </row>
    <row r="131" ht="50" customHeight="1" spans="1:13">
      <c r="A131" s="17">
        <f t="shared" si="12"/>
        <v>128</v>
      </c>
      <c r="B131" s="18" t="s">
        <v>249</v>
      </c>
      <c r="C131" s="19" t="s">
        <v>240</v>
      </c>
      <c r="D131" s="20" t="s">
        <v>250</v>
      </c>
      <c r="E131" s="19" t="s">
        <v>51</v>
      </c>
      <c r="F131" s="19">
        <v>10</v>
      </c>
      <c r="G131" s="25">
        <v>5.5</v>
      </c>
      <c r="H131" s="22"/>
      <c r="I131" s="35"/>
      <c r="J131" s="38" t="str">
        <f>_xlfn.DISPIMG("ID_29672FAACEF84BAF9243D982E4C8E1B5",1)</f>
        <v>=DISPIMG("ID_29672FAACEF84BAF9243D982E4C8E1B5",1)</v>
      </c>
      <c r="K131" s="38"/>
      <c r="L131" s="38"/>
      <c r="M131" s="37"/>
    </row>
    <row r="132" ht="50" customHeight="1" spans="1:13">
      <c r="A132" s="17">
        <f t="shared" si="12"/>
        <v>129</v>
      </c>
      <c r="B132" s="18" t="s">
        <v>251</v>
      </c>
      <c r="C132" s="19" t="s">
        <v>240</v>
      </c>
      <c r="D132" s="20" t="s">
        <v>252</v>
      </c>
      <c r="E132" s="19" t="s">
        <v>51</v>
      </c>
      <c r="F132" s="19">
        <v>10</v>
      </c>
      <c r="G132" s="25">
        <v>22</v>
      </c>
      <c r="H132" s="22"/>
      <c r="I132" s="35"/>
      <c r="J132" s="38" t="str">
        <f>_xlfn.DISPIMG("ID_22E24F8C4FBE4FF7A7BC6103D3CB5F5E",1)</f>
        <v>=DISPIMG("ID_22E24F8C4FBE4FF7A7BC6103D3CB5F5E",1)</v>
      </c>
      <c r="K132" s="38"/>
      <c r="L132" s="38"/>
      <c r="M132" s="37"/>
    </row>
    <row r="133" ht="50" customHeight="1" spans="1:13">
      <c r="A133" s="17">
        <f t="shared" si="12"/>
        <v>130</v>
      </c>
      <c r="B133" s="18" t="s">
        <v>253</v>
      </c>
      <c r="C133" s="49" t="s">
        <v>254</v>
      </c>
      <c r="D133" s="48" t="s">
        <v>255</v>
      </c>
      <c r="E133" s="49" t="s">
        <v>256</v>
      </c>
      <c r="F133" s="49">
        <v>4000</v>
      </c>
      <c r="G133" s="25">
        <v>1.05</v>
      </c>
      <c r="H133" s="22"/>
      <c r="I133" s="35"/>
      <c r="J133" s="52" t="str">
        <f>_xlfn.DISPIMG("ID_16742BD4E08548EF8FE2EC8BB7986763",1)</f>
        <v>=DISPIMG("ID_16742BD4E08548EF8FE2EC8BB7986763",1)</v>
      </c>
      <c r="K133" s="52"/>
      <c r="L133" s="52"/>
      <c r="M133" s="37"/>
    </row>
    <row r="134" ht="50" customHeight="1" spans="1:13">
      <c r="A134" s="17">
        <f t="shared" si="12"/>
        <v>131</v>
      </c>
      <c r="B134" s="18" t="s">
        <v>257</v>
      </c>
      <c r="C134" s="23" t="s">
        <v>254</v>
      </c>
      <c r="D134" s="20" t="s">
        <v>258</v>
      </c>
      <c r="E134" s="19" t="s">
        <v>100</v>
      </c>
      <c r="F134" s="19">
        <v>12</v>
      </c>
      <c r="G134" s="25">
        <v>90</v>
      </c>
      <c r="H134" s="22"/>
      <c r="I134" s="35"/>
      <c r="J134" s="38" t="str">
        <f>_xlfn.DISPIMG("ID_09D57304AAC740EA8829A65F6788D50C",1)</f>
        <v>=DISPIMG("ID_09D57304AAC740EA8829A65F6788D50C",1)</v>
      </c>
      <c r="K134" s="39" t="s">
        <v>43</v>
      </c>
      <c r="L134" s="39" t="s">
        <v>43</v>
      </c>
      <c r="M134" s="37"/>
    </row>
    <row r="135" ht="50" customHeight="1" spans="1:13">
      <c r="A135" s="17">
        <f t="shared" ref="A135:A144" si="13">ROW()-3</f>
        <v>132</v>
      </c>
      <c r="B135" s="18" t="s">
        <v>257</v>
      </c>
      <c r="C135" s="23" t="s">
        <v>254</v>
      </c>
      <c r="D135" s="20" t="s">
        <v>259</v>
      </c>
      <c r="E135" s="19" t="s">
        <v>256</v>
      </c>
      <c r="F135" s="19">
        <v>320</v>
      </c>
      <c r="G135" s="25">
        <v>9</v>
      </c>
      <c r="H135" s="22"/>
      <c r="I135" s="35"/>
      <c r="J135" s="38" t="str">
        <f>_xlfn.DISPIMG("ID_09D57304AAC740EA8829A65F6788D50C",1)</f>
        <v>=DISPIMG("ID_09D57304AAC740EA8829A65F6788D50C",1)</v>
      </c>
      <c r="K135" s="39" t="s">
        <v>43</v>
      </c>
      <c r="L135" s="39" t="s">
        <v>43</v>
      </c>
      <c r="M135" s="37"/>
    </row>
    <row r="136" ht="50" customHeight="1" spans="1:13">
      <c r="A136" s="17">
        <f t="shared" si="13"/>
        <v>133</v>
      </c>
      <c r="B136" s="18" t="s">
        <v>260</v>
      </c>
      <c r="C136" s="19" t="s">
        <v>254</v>
      </c>
      <c r="D136" s="20" t="s">
        <v>261</v>
      </c>
      <c r="E136" s="19" t="s">
        <v>256</v>
      </c>
      <c r="F136" s="19">
        <v>1100</v>
      </c>
      <c r="G136" s="25">
        <v>1.8</v>
      </c>
      <c r="H136" s="22"/>
      <c r="I136" s="35"/>
      <c r="J136" s="38" t="str">
        <f>_xlfn.DISPIMG("ID_49F48DE140A64BD4A336CF066F01DA39",1)</f>
        <v>=DISPIMG("ID_49F48DE140A64BD4A336CF066F01DA39",1)</v>
      </c>
      <c r="K136" s="39"/>
      <c r="L136" s="39" t="s">
        <v>43</v>
      </c>
      <c r="M136" s="37"/>
    </row>
    <row r="137" ht="50" customHeight="1" spans="1:13">
      <c r="A137" s="17">
        <f t="shared" si="13"/>
        <v>134</v>
      </c>
      <c r="B137" s="18" t="s">
        <v>260</v>
      </c>
      <c r="C137" s="23" t="s">
        <v>254</v>
      </c>
      <c r="D137" s="20" t="s">
        <v>262</v>
      </c>
      <c r="E137" s="19" t="s">
        <v>256</v>
      </c>
      <c r="F137" s="19">
        <v>1200</v>
      </c>
      <c r="G137" s="25">
        <v>2.15</v>
      </c>
      <c r="H137" s="22"/>
      <c r="I137" s="35"/>
      <c r="J137" s="38" t="str">
        <f>_xlfn.DISPIMG("ID_49F48DE140A64BD4A336CF066F01DA39",1)</f>
        <v>=DISPIMG("ID_49F48DE140A64BD4A336CF066F01DA39",1)</v>
      </c>
      <c r="K137" s="39" t="s">
        <v>43</v>
      </c>
      <c r="L137" s="39" t="s">
        <v>43</v>
      </c>
      <c r="M137" s="37"/>
    </row>
    <row r="138" ht="50" customHeight="1" spans="1:13">
      <c r="A138" s="17">
        <f t="shared" si="13"/>
        <v>135</v>
      </c>
      <c r="B138" s="18" t="s">
        <v>260</v>
      </c>
      <c r="C138" s="23" t="s">
        <v>254</v>
      </c>
      <c r="D138" s="20" t="s">
        <v>263</v>
      </c>
      <c r="E138" s="19" t="s">
        <v>256</v>
      </c>
      <c r="F138" s="19">
        <v>3100</v>
      </c>
      <c r="G138" s="25">
        <v>3</v>
      </c>
      <c r="H138" s="22"/>
      <c r="I138" s="35"/>
      <c r="J138" s="38" t="str">
        <f>_xlfn.DISPIMG("ID_49F48DE140A64BD4A336CF066F01DA39",1)</f>
        <v>=DISPIMG("ID_49F48DE140A64BD4A336CF066F01DA39",1)</v>
      </c>
      <c r="K138" s="39" t="s">
        <v>43</v>
      </c>
      <c r="L138" s="39" t="s">
        <v>43</v>
      </c>
      <c r="M138" s="37"/>
    </row>
    <row r="139" ht="50" customHeight="1" spans="1:13">
      <c r="A139" s="17">
        <f t="shared" si="13"/>
        <v>136</v>
      </c>
      <c r="B139" s="18" t="s">
        <v>254</v>
      </c>
      <c r="C139" s="19" t="s">
        <v>254</v>
      </c>
      <c r="D139" s="20" t="s">
        <v>264</v>
      </c>
      <c r="E139" s="19" t="s">
        <v>256</v>
      </c>
      <c r="F139" s="19">
        <v>10</v>
      </c>
      <c r="G139" s="25">
        <v>3.6</v>
      </c>
      <c r="H139" s="22"/>
      <c r="I139" s="35"/>
      <c r="J139" s="38" t="str">
        <f>_xlfn.DISPIMG("ID_1A3752CDBCEE4A3BB49AC6B29CCD3C92",1)</f>
        <v>=DISPIMG("ID_1A3752CDBCEE4A3BB49AC6B29CCD3C92",1)</v>
      </c>
      <c r="K139" s="39"/>
      <c r="L139" s="39" t="s">
        <v>43</v>
      </c>
      <c r="M139" s="37"/>
    </row>
    <row r="140" ht="50" customHeight="1" spans="1:13">
      <c r="A140" s="17">
        <f t="shared" si="13"/>
        <v>137</v>
      </c>
      <c r="B140" s="18" t="s">
        <v>254</v>
      </c>
      <c r="C140" s="19" t="s">
        <v>254</v>
      </c>
      <c r="D140" s="20" t="s">
        <v>265</v>
      </c>
      <c r="E140" s="19" t="s">
        <v>256</v>
      </c>
      <c r="F140" s="19">
        <v>10</v>
      </c>
      <c r="G140" s="25">
        <v>7.5</v>
      </c>
      <c r="H140" s="22"/>
      <c r="I140" s="35"/>
      <c r="J140" s="38" t="str">
        <f>_xlfn.DISPIMG("ID_EF786148AC7A45A0B5FE1A262874DF06",1)</f>
        <v>=DISPIMG("ID_EF786148AC7A45A0B5FE1A262874DF06",1)</v>
      </c>
      <c r="K140" s="39"/>
      <c r="L140" s="39" t="s">
        <v>43</v>
      </c>
      <c r="M140" s="37"/>
    </row>
    <row r="141" ht="50" customHeight="1" spans="1:13">
      <c r="A141" s="17">
        <f t="shared" si="13"/>
        <v>138</v>
      </c>
      <c r="B141" s="18" t="s">
        <v>254</v>
      </c>
      <c r="C141" s="19" t="s">
        <v>254</v>
      </c>
      <c r="D141" s="20" t="s">
        <v>266</v>
      </c>
      <c r="E141" s="19" t="s">
        <v>256</v>
      </c>
      <c r="F141" s="19">
        <v>10</v>
      </c>
      <c r="G141" s="25">
        <v>9</v>
      </c>
      <c r="H141" s="22"/>
      <c r="I141" s="35"/>
      <c r="J141" s="38" t="str">
        <f>_xlfn.DISPIMG("ID_33EE011491874F86AD26D9AC216A6DEA",1)</f>
        <v>=DISPIMG("ID_33EE011491874F86AD26D9AC216A6DEA",1)</v>
      </c>
      <c r="K141" s="38"/>
      <c r="L141" s="39" t="s">
        <v>43</v>
      </c>
      <c r="M141" s="37"/>
    </row>
    <row r="142" ht="50" customHeight="1" spans="1:13">
      <c r="A142" s="17">
        <f t="shared" si="13"/>
        <v>139</v>
      </c>
      <c r="B142" s="18" t="s">
        <v>254</v>
      </c>
      <c r="C142" s="19" t="s">
        <v>254</v>
      </c>
      <c r="D142" s="20" t="s">
        <v>267</v>
      </c>
      <c r="E142" s="19" t="s">
        <v>100</v>
      </c>
      <c r="F142" s="19">
        <v>10</v>
      </c>
      <c r="G142" s="25">
        <v>300</v>
      </c>
      <c r="H142" s="22"/>
      <c r="I142" s="35"/>
      <c r="J142" s="38" t="str">
        <f>_xlfn.DISPIMG("ID_846AB44945D442748D7742E93A5A7E42",1)</f>
        <v>=DISPIMG("ID_846AB44945D442748D7742E93A5A7E42",1)</v>
      </c>
      <c r="K142" s="38"/>
      <c r="L142" s="39" t="s">
        <v>43</v>
      </c>
      <c r="M142" s="37"/>
    </row>
    <row r="143" ht="50" customHeight="1" spans="1:13">
      <c r="A143" s="17">
        <f t="shared" si="13"/>
        <v>140</v>
      </c>
      <c r="B143" s="18" t="s">
        <v>254</v>
      </c>
      <c r="C143" s="19" t="s">
        <v>254</v>
      </c>
      <c r="D143" s="20" t="s">
        <v>268</v>
      </c>
      <c r="E143" s="19" t="s">
        <v>256</v>
      </c>
      <c r="F143" s="19">
        <v>10</v>
      </c>
      <c r="G143" s="25">
        <v>12.5</v>
      </c>
      <c r="H143" s="22"/>
      <c r="I143" s="35"/>
      <c r="J143" s="38" t="str">
        <f>_xlfn.DISPIMG("ID_10D686312011424A8E76E51B56CC5802",1)</f>
        <v>=DISPIMG("ID_10D686312011424A8E76E51B56CC5802",1)</v>
      </c>
      <c r="K143" s="38"/>
      <c r="L143" s="39" t="s">
        <v>43</v>
      </c>
      <c r="M143" s="37"/>
    </row>
    <row r="144" ht="50" customHeight="1" spans="1:13">
      <c r="A144" s="17">
        <f t="shared" si="13"/>
        <v>141</v>
      </c>
      <c r="B144" s="18" t="s">
        <v>254</v>
      </c>
      <c r="C144" s="19" t="s">
        <v>254</v>
      </c>
      <c r="D144" s="20" t="s">
        <v>269</v>
      </c>
      <c r="E144" s="19" t="s">
        <v>100</v>
      </c>
      <c r="F144" s="19">
        <v>20</v>
      </c>
      <c r="G144" s="25">
        <v>153</v>
      </c>
      <c r="H144" s="22"/>
      <c r="I144" s="35"/>
      <c r="J144" s="38" t="str">
        <f t="shared" ref="J144:J151" si="14">_xlfn.DISPIMG("ID_49F48DE140A64BD4A336CF066F01DA39",1)</f>
        <v>=DISPIMG("ID_49F48DE140A64BD4A336CF066F01DA39",1)</v>
      </c>
      <c r="K144" s="38"/>
      <c r="L144" s="39" t="s">
        <v>43</v>
      </c>
      <c r="M144" s="37"/>
    </row>
    <row r="145" ht="50" customHeight="1" spans="1:13">
      <c r="A145" s="17">
        <f t="shared" ref="A145:A154" si="15">ROW()-3</f>
        <v>142</v>
      </c>
      <c r="B145" s="18" t="s">
        <v>254</v>
      </c>
      <c r="C145" s="19" t="s">
        <v>254</v>
      </c>
      <c r="D145" s="20" t="s">
        <v>270</v>
      </c>
      <c r="E145" s="19" t="s">
        <v>256</v>
      </c>
      <c r="F145" s="19">
        <v>70</v>
      </c>
      <c r="G145" s="25">
        <v>9</v>
      </c>
      <c r="H145" s="22"/>
      <c r="I145" s="35"/>
      <c r="J145" s="38" t="str">
        <f t="shared" si="14"/>
        <v>=DISPIMG("ID_49F48DE140A64BD4A336CF066F01DA39",1)</v>
      </c>
      <c r="K145" s="38"/>
      <c r="L145" s="39" t="s">
        <v>43</v>
      </c>
      <c r="M145" s="37"/>
    </row>
    <row r="146" ht="50" customHeight="1" spans="1:13">
      <c r="A146" s="17">
        <f t="shared" si="15"/>
        <v>143</v>
      </c>
      <c r="B146" s="18" t="s">
        <v>254</v>
      </c>
      <c r="C146" s="19" t="s">
        <v>254</v>
      </c>
      <c r="D146" s="20" t="s">
        <v>271</v>
      </c>
      <c r="E146" s="19" t="s">
        <v>28</v>
      </c>
      <c r="F146" s="19">
        <v>10</v>
      </c>
      <c r="G146" s="21">
        <v>2.5</v>
      </c>
      <c r="H146" s="22"/>
      <c r="I146" s="35"/>
      <c r="J146" s="38" t="str">
        <f t="shared" si="14"/>
        <v>=DISPIMG("ID_49F48DE140A64BD4A336CF066F01DA39",1)</v>
      </c>
      <c r="K146" s="38"/>
      <c r="L146" s="36"/>
      <c r="M146" s="37"/>
    </row>
    <row r="147" ht="50" customHeight="1" spans="1:13">
      <c r="A147" s="17">
        <f t="shared" si="15"/>
        <v>144</v>
      </c>
      <c r="B147" s="18" t="s">
        <v>254</v>
      </c>
      <c r="C147" s="19" t="s">
        <v>254</v>
      </c>
      <c r="D147" s="20" t="s">
        <v>271</v>
      </c>
      <c r="E147" s="19" t="s">
        <v>100</v>
      </c>
      <c r="F147" s="19">
        <v>10</v>
      </c>
      <c r="G147" s="21">
        <v>125</v>
      </c>
      <c r="H147" s="22"/>
      <c r="I147" s="35"/>
      <c r="J147" s="38" t="str">
        <f t="shared" si="14"/>
        <v>=DISPIMG("ID_49F48DE140A64BD4A336CF066F01DA39",1)</v>
      </c>
      <c r="K147" s="38"/>
      <c r="L147" s="36"/>
      <c r="M147" s="37"/>
    </row>
    <row r="148" ht="50" customHeight="1" spans="1:13">
      <c r="A148" s="17">
        <f t="shared" si="15"/>
        <v>145</v>
      </c>
      <c r="B148" s="18" t="s">
        <v>254</v>
      </c>
      <c r="C148" s="23" t="s">
        <v>254</v>
      </c>
      <c r="D148" s="20" t="s">
        <v>272</v>
      </c>
      <c r="E148" s="19" t="s">
        <v>256</v>
      </c>
      <c r="F148" s="19">
        <v>7300</v>
      </c>
      <c r="G148" s="25">
        <v>4.9</v>
      </c>
      <c r="H148" s="22"/>
      <c r="I148" s="35"/>
      <c r="J148" s="38" t="str">
        <f t="shared" si="14"/>
        <v>=DISPIMG("ID_49F48DE140A64BD4A336CF066F01DA39",1)</v>
      </c>
      <c r="K148" s="39" t="s">
        <v>43</v>
      </c>
      <c r="L148" s="39" t="s">
        <v>43</v>
      </c>
      <c r="M148" s="37"/>
    </row>
    <row r="149" ht="50" customHeight="1" spans="1:13">
      <c r="A149" s="17">
        <f t="shared" si="15"/>
        <v>146</v>
      </c>
      <c r="B149" s="18" t="s">
        <v>254</v>
      </c>
      <c r="C149" s="23" t="s">
        <v>254</v>
      </c>
      <c r="D149" s="20" t="s">
        <v>273</v>
      </c>
      <c r="E149" s="19" t="s">
        <v>28</v>
      </c>
      <c r="F149" s="19">
        <v>10</v>
      </c>
      <c r="G149" s="25">
        <v>2.3</v>
      </c>
      <c r="H149" s="22"/>
      <c r="I149" s="35"/>
      <c r="J149" s="38" t="str">
        <f t="shared" si="14"/>
        <v>=DISPIMG("ID_49F48DE140A64BD4A336CF066F01DA39",1)</v>
      </c>
      <c r="K149" s="39"/>
      <c r="L149" s="39" t="s">
        <v>43</v>
      </c>
      <c r="M149" s="37"/>
    </row>
    <row r="150" ht="50" customHeight="1" spans="1:13">
      <c r="A150" s="17">
        <f t="shared" si="15"/>
        <v>147</v>
      </c>
      <c r="B150" s="18" t="s">
        <v>254</v>
      </c>
      <c r="C150" s="23" t="s">
        <v>254</v>
      </c>
      <c r="D150" s="20" t="s">
        <v>274</v>
      </c>
      <c r="E150" s="19" t="s">
        <v>256</v>
      </c>
      <c r="F150" s="19">
        <v>800</v>
      </c>
      <c r="G150" s="25">
        <v>3.4</v>
      </c>
      <c r="H150" s="22"/>
      <c r="I150" s="35"/>
      <c r="J150" s="38" t="str">
        <f t="shared" si="14"/>
        <v>=DISPIMG("ID_49F48DE140A64BD4A336CF066F01DA39",1)</v>
      </c>
      <c r="K150" s="39" t="s">
        <v>43</v>
      </c>
      <c r="L150" s="39" t="s">
        <v>43</v>
      </c>
      <c r="M150" s="37"/>
    </row>
    <row r="151" ht="50" customHeight="1" spans="1:13">
      <c r="A151" s="17">
        <f t="shared" si="15"/>
        <v>148</v>
      </c>
      <c r="B151" s="18" t="s">
        <v>254</v>
      </c>
      <c r="C151" s="23" t="s">
        <v>254</v>
      </c>
      <c r="D151" s="20" t="s">
        <v>275</v>
      </c>
      <c r="E151" s="19" t="s">
        <v>100</v>
      </c>
      <c r="F151" s="19">
        <v>35</v>
      </c>
      <c r="G151" s="25">
        <v>155</v>
      </c>
      <c r="H151" s="22"/>
      <c r="I151" s="35"/>
      <c r="J151" s="38" t="str">
        <f t="shared" si="14"/>
        <v>=DISPIMG("ID_49F48DE140A64BD4A336CF066F01DA39",1)</v>
      </c>
      <c r="K151" s="39" t="s">
        <v>43</v>
      </c>
      <c r="L151" s="39" t="s">
        <v>43</v>
      </c>
      <c r="M151" s="37"/>
    </row>
    <row r="152" ht="50" customHeight="1" spans="1:13">
      <c r="A152" s="17">
        <f t="shared" si="15"/>
        <v>149</v>
      </c>
      <c r="B152" s="18" t="s">
        <v>276</v>
      </c>
      <c r="C152" s="23" t="s">
        <v>254</v>
      </c>
      <c r="D152" s="20" t="s">
        <v>277</v>
      </c>
      <c r="E152" s="19" t="s">
        <v>256</v>
      </c>
      <c r="F152" s="17">
        <v>30</v>
      </c>
      <c r="G152" s="21">
        <v>2.4</v>
      </c>
      <c r="H152" s="22"/>
      <c r="I152" s="35"/>
      <c r="J152" s="36"/>
      <c r="K152" s="36"/>
      <c r="L152" s="36"/>
      <c r="M152" s="37"/>
    </row>
    <row r="153" ht="50" customHeight="1" spans="1:13">
      <c r="A153" s="17">
        <f t="shared" si="15"/>
        <v>150</v>
      </c>
      <c r="B153" s="18" t="s">
        <v>276</v>
      </c>
      <c r="C153" s="23" t="s">
        <v>254</v>
      </c>
      <c r="D153" s="20" t="s">
        <v>278</v>
      </c>
      <c r="E153" s="19" t="s">
        <v>256</v>
      </c>
      <c r="F153" s="17">
        <v>30</v>
      </c>
      <c r="G153" s="21">
        <v>4</v>
      </c>
      <c r="H153" s="22"/>
      <c r="I153" s="35"/>
      <c r="J153" s="36"/>
      <c r="K153" s="36"/>
      <c r="L153" s="36"/>
      <c r="M153" s="37"/>
    </row>
    <row r="154" ht="50" customHeight="1" spans="1:13">
      <c r="A154" s="17">
        <f t="shared" si="15"/>
        <v>151</v>
      </c>
      <c r="B154" s="18" t="s">
        <v>276</v>
      </c>
      <c r="C154" s="23" t="s">
        <v>254</v>
      </c>
      <c r="D154" s="20" t="s">
        <v>279</v>
      </c>
      <c r="E154" s="19" t="s">
        <v>256</v>
      </c>
      <c r="F154" s="17">
        <v>30</v>
      </c>
      <c r="G154" s="21">
        <v>5.8</v>
      </c>
      <c r="H154" s="22"/>
      <c r="I154" s="35"/>
      <c r="J154" s="36"/>
      <c r="K154" s="36"/>
      <c r="L154" s="36"/>
      <c r="M154" s="37"/>
    </row>
    <row r="155" ht="50" customHeight="1" spans="1:13">
      <c r="A155" s="17">
        <f t="shared" ref="A155:A164" si="16">ROW()-3</f>
        <v>152</v>
      </c>
      <c r="B155" s="18" t="s">
        <v>276</v>
      </c>
      <c r="C155" s="23" t="s">
        <v>254</v>
      </c>
      <c r="D155" s="20" t="s">
        <v>280</v>
      </c>
      <c r="E155" s="19" t="s">
        <v>256</v>
      </c>
      <c r="F155" s="17">
        <v>30</v>
      </c>
      <c r="G155" s="21">
        <v>6.5</v>
      </c>
      <c r="H155" s="22"/>
      <c r="I155" s="35"/>
      <c r="J155" s="36"/>
      <c r="K155" s="36"/>
      <c r="L155" s="36"/>
      <c r="M155" s="37"/>
    </row>
    <row r="156" ht="50" customHeight="1" spans="1:13">
      <c r="A156" s="17">
        <f t="shared" si="16"/>
        <v>153</v>
      </c>
      <c r="B156" s="18" t="s">
        <v>281</v>
      </c>
      <c r="C156" s="19" t="s">
        <v>282</v>
      </c>
      <c r="D156" s="20" t="s">
        <v>283</v>
      </c>
      <c r="E156" s="19" t="s">
        <v>51</v>
      </c>
      <c r="F156" s="19">
        <v>30</v>
      </c>
      <c r="G156" s="21">
        <v>7.5</v>
      </c>
      <c r="H156" s="22"/>
      <c r="I156" s="35"/>
      <c r="J156" s="36" t="str">
        <f>_xlfn.DISPIMG("ID_4B6C53727F624DB98A80A1F072B77F22",1)</f>
        <v>=DISPIMG("ID_4B6C53727F624DB98A80A1F072B77F22",1)</v>
      </c>
      <c r="K156" s="36"/>
      <c r="L156" s="36"/>
      <c r="M156" s="37"/>
    </row>
    <row r="157" ht="50" customHeight="1" spans="1:14">
      <c r="A157" s="17">
        <f t="shared" si="16"/>
        <v>154</v>
      </c>
      <c r="B157" s="18" t="s">
        <v>284</v>
      </c>
      <c r="C157" s="19" t="s">
        <v>282</v>
      </c>
      <c r="D157" s="20" t="s">
        <v>285</v>
      </c>
      <c r="E157" s="19" t="s">
        <v>49</v>
      </c>
      <c r="F157" s="19">
        <v>10</v>
      </c>
      <c r="G157" s="21">
        <v>21</v>
      </c>
      <c r="H157" s="22"/>
      <c r="I157" s="35"/>
      <c r="J157" s="36" t="str">
        <f>_xlfn.DISPIMG("ID_A112542884A8426C9BE677AB42EF365A",1)</f>
        <v>=DISPIMG("ID_A112542884A8426C9BE677AB42EF365A",1)</v>
      </c>
      <c r="K157" s="39" t="s">
        <v>43</v>
      </c>
      <c r="L157" s="39" t="s">
        <v>43</v>
      </c>
      <c r="M157" s="37"/>
      <c r="N157" s="1"/>
    </row>
    <row r="158" ht="50" customHeight="1" spans="1:14">
      <c r="A158" s="17">
        <f t="shared" si="16"/>
        <v>155</v>
      </c>
      <c r="B158" s="18" t="s">
        <v>284</v>
      </c>
      <c r="C158" s="19" t="s">
        <v>282</v>
      </c>
      <c r="D158" s="20" t="s">
        <v>286</v>
      </c>
      <c r="E158" s="19" t="s">
        <v>100</v>
      </c>
      <c r="F158" s="19">
        <v>10</v>
      </c>
      <c r="G158" s="21">
        <v>20</v>
      </c>
      <c r="H158" s="22"/>
      <c r="I158" s="35"/>
      <c r="J158" s="36" t="str">
        <f>_xlfn.DISPIMG("ID_C6329B8C63054AD3B03451DE282C02DB",1)</f>
        <v>=DISPIMG("ID_C6329B8C63054AD3B03451DE282C02DB",1)</v>
      </c>
      <c r="K158" s="39" t="s">
        <v>43</v>
      </c>
      <c r="L158" s="39" t="s">
        <v>43</v>
      </c>
      <c r="M158" s="37"/>
      <c r="N158" s="1"/>
    </row>
    <row r="159" ht="50" customHeight="1" spans="1:13">
      <c r="A159" s="17">
        <f t="shared" si="16"/>
        <v>156</v>
      </c>
      <c r="B159" s="18" t="s">
        <v>284</v>
      </c>
      <c r="C159" s="23" t="s">
        <v>282</v>
      </c>
      <c r="D159" s="24" t="s">
        <v>287</v>
      </c>
      <c r="E159" s="17" t="s">
        <v>49</v>
      </c>
      <c r="F159" s="17">
        <v>30</v>
      </c>
      <c r="G159" s="21">
        <v>32</v>
      </c>
      <c r="H159" s="22"/>
      <c r="I159" s="35"/>
      <c r="J159" s="36"/>
      <c r="K159" s="36"/>
      <c r="L159" s="36"/>
      <c r="M159" s="37"/>
    </row>
    <row r="160" ht="50" customHeight="1" spans="1:13">
      <c r="A160" s="17">
        <f t="shared" si="16"/>
        <v>157</v>
      </c>
      <c r="B160" s="18" t="s">
        <v>288</v>
      </c>
      <c r="C160" s="19" t="s">
        <v>282</v>
      </c>
      <c r="D160" s="20" t="s">
        <v>289</v>
      </c>
      <c r="E160" s="19" t="s">
        <v>113</v>
      </c>
      <c r="F160" s="19">
        <v>20</v>
      </c>
      <c r="G160" s="21">
        <v>19</v>
      </c>
      <c r="H160" s="22"/>
      <c r="I160" s="35"/>
      <c r="J160" s="36" t="str">
        <f>_xlfn.DISPIMG("ID_928256149C554296A6194553BEB76601",1)</f>
        <v>=DISPIMG("ID_928256149C554296A6194553BEB76601",1)</v>
      </c>
      <c r="K160" s="36"/>
      <c r="L160" s="36"/>
      <c r="M160" s="37"/>
    </row>
    <row r="161" ht="50" customHeight="1" spans="1:13">
      <c r="A161" s="17">
        <f t="shared" si="16"/>
        <v>158</v>
      </c>
      <c r="B161" s="18" t="s">
        <v>288</v>
      </c>
      <c r="C161" s="19" t="s">
        <v>282</v>
      </c>
      <c r="D161" s="20" t="s">
        <v>290</v>
      </c>
      <c r="E161" s="19" t="s">
        <v>113</v>
      </c>
      <c r="F161" s="19">
        <v>10</v>
      </c>
      <c r="G161" s="21">
        <v>19</v>
      </c>
      <c r="H161" s="22"/>
      <c r="I161" s="35"/>
      <c r="J161" s="36" t="str">
        <f>_xlfn.DISPIMG("ID_A04D5A20087D49A3A9A4ED8B3B814BE6",1)</f>
        <v>=DISPIMG("ID_A04D5A20087D49A3A9A4ED8B3B814BE6",1)</v>
      </c>
      <c r="K161" s="36"/>
      <c r="L161" s="36"/>
      <c r="M161" s="37"/>
    </row>
    <row r="162" ht="50" customHeight="1" spans="1:13">
      <c r="A162" s="17">
        <f t="shared" si="16"/>
        <v>159</v>
      </c>
      <c r="B162" s="18" t="s">
        <v>291</v>
      </c>
      <c r="C162" s="19" t="s">
        <v>282</v>
      </c>
      <c r="D162" s="20" t="s">
        <v>292</v>
      </c>
      <c r="E162" s="19" t="s">
        <v>113</v>
      </c>
      <c r="F162" s="19">
        <v>20</v>
      </c>
      <c r="G162" s="21">
        <v>10</v>
      </c>
      <c r="H162" s="22"/>
      <c r="I162" s="35"/>
      <c r="J162" s="36" t="str">
        <f>_xlfn.DISPIMG("ID_9E098CD27D2F4B9EBAFEA163382369CE",1)</f>
        <v>=DISPIMG("ID_9E098CD27D2F4B9EBAFEA163382369CE",1)</v>
      </c>
      <c r="K162" s="36"/>
      <c r="L162" s="36"/>
      <c r="M162" s="37"/>
    </row>
    <row r="163" ht="50" customHeight="1" spans="1:13">
      <c r="A163" s="17">
        <f t="shared" si="16"/>
        <v>160</v>
      </c>
      <c r="B163" s="18" t="s">
        <v>293</v>
      </c>
      <c r="C163" s="23" t="s">
        <v>294</v>
      </c>
      <c r="D163" s="20" t="s">
        <v>295</v>
      </c>
      <c r="E163" s="19" t="s">
        <v>51</v>
      </c>
      <c r="F163" s="19">
        <v>100</v>
      </c>
      <c r="G163" s="25">
        <v>2.5</v>
      </c>
      <c r="H163" s="22"/>
      <c r="I163" s="35"/>
      <c r="J163" s="38" t="str">
        <f>_xlfn.DISPIMG("ID_8F0698D9B1074A8EA7213835997AC86B",1)</f>
        <v>=DISPIMG("ID_8F0698D9B1074A8EA7213835997AC86B",1)</v>
      </c>
      <c r="K163" s="38"/>
      <c r="L163" s="38"/>
      <c r="M163" s="37"/>
    </row>
    <row r="164" ht="50" customHeight="1" spans="1:13">
      <c r="A164" s="17">
        <f t="shared" si="16"/>
        <v>161</v>
      </c>
      <c r="B164" s="18" t="s">
        <v>296</v>
      </c>
      <c r="C164" s="23" t="s">
        <v>294</v>
      </c>
      <c r="D164" s="20" t="s">
        <v>297</v>
      </c>
      <c r="E164" s="19" t="s">
        <v>42</v>
      </c>
      <c r="F164" s="19">
        <v>50</v>
      </c>
      <c r="G164" s="25">
        <v>2</v>
      </c>
      <c r="H164" s="22"/>
      <c r="I164" s="35"/>
      <c r="J164" s="38" t="str">
        <f>_xlfn.DISPIMG("ID_A4CB42E86A8D4F82BE0E75DAF0FFB20A",1)</f>
        <v>=DISPIMG("ID_A4CB42E86A8D4F82BE0E75DAF0FFB20A",1)</v>
      </c>
      <c r="K164" s="38"/>
      <c r="L164" s="38"/>
      <c r="M164" s="37"/>
    </row>
    <row r="165" ht="50" customHeight="1" spans="1:13">
      <c r="A165" s="17">
        <f t="shared" ref="A165:A174" si="17">ROW()-3</f>
        <v>162</v>
      </c>
      <c r="B165" s="18" t="s">
        <v>298</v>
      </c>
      <c r="C165" s="23" t="s">
        <v>294</v>
      </c>
      <c r="D165" s="20" t="s">
        <v>299</v>
      </c>
      <c r="E165" s="19" t="s">
        <v>51</v>
      </c>
      <c r="F165" s="19">
        <v>20</v>
      </c>
      <c r="G165" s="25">
        <v>6</v>
      </c>
      <c r="H165" s="22"/>
      <c r="I165" s="35"/>
      <c r="J165" s="38" t="str">
        <f>_xlfn.DISPIMG("ID_6F36CCCEC7234134AE0B239C40502F73",1)</f>
        <v>=DISPIMG("ID_6F36CCCEC7234134AE0B239C40502F73",1)</v>
      </c>
      <c r="K165" s="38"/>
      <c r="L165" s="38"/>
      <c r="M165" s="37"/>
    </row>
    <row r="166" ht="50" customHeight="1" spans="1:13">
      <c r="A166" s="17">
        <f t="shared" si="17"/>
        <v>163</v>
      </c>
      <c r="B166" s="18" t="s">
        <v>300</v>
      </c>
      <c r="C166" s="23" t="s">
        <v>294</v>
      </c>
      <c r="D166" s="20" t="s">
        <v>301</v>
      </c>
      <c r="E166" s="19" t="s">
        <v>42</v>
      </c>
      <c r="F166" s="19">
        <v>80</v>
      </c>
      <c r="G166" s="25">
        <v>2</v>
      </c>
      <c r="H166" s="22"/>
      <c r="I166" s="35"/>
      <c r="J166" s="38" t="str">
        <f>_xlfn.DISPIMG("ID_B93BAEDC6BCA4ED0B4F608AE2FB5F6A6",1)</f>
        <v>=DISPIMG("ID_B93BAEDC6BCA4ED0B4F608AE2FB5F6A6",1)</v>
      </c>
      <c r="K166" s="38"/>
      <c r="L166" s="38"/>
      <c r="M166" s="37"/>
    </row>
    <row r="167" ht="50" customHeight="1" spans="1:13">
      <c r="A167" s="17">
        <f t="shared" si="17"/>
        <v>164</v>
      </c>
      <c r="B167" s="18" t="s">
        <v>302</v>
      </c>
      <c r="C167" s="23" t="s">
        <v>294</v>
      </c>
      <c r="D167" s="20" t="s">
        <v>303</v>
      </c>
      <c r="E167" s="19" t="s">
        <v>76</v>
      </c>
      <c r="F167" s="19">
        <v>200</v>
      </c>
      <c r="G167" s="25">
        <v>3</v>
      </c>
      <c r="H167" s="22"/>
      <c r="I167" s="35"/>
      <c r="J167" s="38" t="str">
        <f>_xlfn.DISPIMG("ID_831E7617F0C44B24AD6E649FB9938C7F",1)</f>
        <v>=DISPIMG("ID_831E7617F0C44B24AD6E649FB9938C7F",1)</v>
      </c>
      <c r="K167" s="38"/>
      <c r="L167" s="38"/>
      <c r="M167" s="37"/>
    </row>
    <row r="168" ht="50" customHeight="1" spans="1:13">
      <c r="A168" s="17">
        <f t="shared" si="17"/>
        <v>165</v>
      </c>
      <c r="B168" s="18" t="s">
        <v>304</v>
      </c>
      <c r="C168" s="23" t="s">
        <v>305</v>
      </c>
      <c r="D168" s="20" t="s">
        <v>306</v>
      </c>
      <c r="E168" s="19" t="s">
        <v>66</v>
      </c>
      <c r="F168" s="19">
        <v>100</v>
      </c>
      <c r="G168" s="25">
        <v>6</v>
      </c>
      <c r="H168" s="22"/>
      <c r="I168" s="35"/>
      <c r="J168" s="38" t="str">
        <f>_xlfn.DISPIMG("ID_690DD98BBF404EE9B87923B1F0BF541B",1)</f>
        <v>=DISPIMG("ID_690DD98BBF404EE9B87923B1F0BF541B",1)</v>
      </c>
      <c r="K168" s="39" t="s">
        <v>43</v>
      </c>
      <c r="L168" s="39" t="s">
        <v>43</v>
      </c>
      <c r="M168" s="37"/>
    </row>
    <row r="169" ht="50" customHeight="1" spans="1:13">
      <c r="A169" s="17">
        <f t="shared" si="17"/>
        <v>166</v>
      </c>
      <c r="B169" s="18" t="s">
        <v>307</v>
      </c>
      <c r="C169" s="23" t="s">
        <v>305</v>
      </c>
      <c r="D169" s="20" t="s">
        <v>308</v>
      </c>
      <c r="E169" s="19" t="s">
        <v>51</v>
      </c>
      <c r="F169" s="19">
        <v>15</v>
      </c>
      <c r="G169" s="25">
        <v>43</v>
      </c>
      <c r="H169" s="22"/>
      <c r="I169" s="35"/>
      <c r="J169" s="38"/>
      <c r="K169" s="38"/>
      <c r="L169" s="38"/>
      <c r="M169" s="37"/>
    </row>
    <row r="170" ht="50" customHeight="1" spans="1:13">
      <c r="A170" s="17">
        <f t="shared" si="17"/>
        <v>167</v>
      </c>
      <c r="B170" s="18" t="s">
        <v>307</v>
      </c>
      <c r="C170" s="23" t="s">
        <v>305</v>
      </c>
      <c r="D170" s="20" t="s">
        <v>309</v>
      </c>
      <c r="E170" s="19" t="s">
        <v>51</v>
      </c>
      <c r="F170" s="19">
        <v>10</v>
      </c>
      <c r="G170" s="25">
        <v>90</v>
      </c>
      <c r="H170" s="22"/>
      <c r="I170" s="35"/>
      <c r="J170" s="38" t="str">
        <f>_xlfn.DISPIMG("ID_54973716A41244649DB523E782D029D9",1)</f>
        <v>=DISPIMG("ID_54973716A41244649DB523E782D029D9",1)</v>
      </c>
      <c r="K170" s="39" t="s">
        <v>43</v>
      </c>
      <c r="L170" s="39" t="s">
        <v>43</v>
      </c>
      <c r="M170" s="37"/>
    </row>
    <row r="171" ht="50" customHeight="1" spans="1:13">
      <c r="A171" s="17">
        <f t="shared" si="17"/>
        <v>168</v>
      </c>
      <c r="B171" s="18" t="s">
        <v>307</v>
      </c>
      <c r="C171" s="23" t="s">
        <v>305</v>
      </c>
      <c r="D171" s="20" t="s">
        <v>310</v>
      </c>
      <c r="E171" s="19" t="s">
        <v>51</v>
      </c>
      <c r="F171" s="19">
        <v>10</v>
      </c>
      <c r="G171" s="25">
        <v>9</v>
      </c>
      <c r="H171" s="22"/>
      <c r="I171" s="35"/>
      <c r="J171" s="38" t="str">
        <f>_xlfn.DISPIMG("ID_3472FA53F8324892B323AE288F47EE93",1)</f>
        <v>=DISPIMG("ID_3472FA53F8324892B323AE288F47EE93",1)</v>
      </c>
      <c r="K171" s="38"/>
      <c r="L171" s="41" t="s">
        <v>311</v>
      </c>
      <c r="M171" s="37"/>
    </row>
    <row r="172" ht="50" customHeight="1" spans="1:13">
      <c r="A172" s="17">
        <f t="shared" si="17"/>
        <v>169</v>
      </c>
      <c r="B172" s="18" t="s">
        <v>307</v>
      </c>
      <c r="C172" s="23" t="s">
        <v>305</v>
      </c>
      <c r="D172" s="20" t="s">
        <v>312</v>
      </c>
      <c r="E172" s="19" t="s">
        <v>51</v>
      </c>
      <c r="F172" s="19">
        <v>10</v>
      </c>
      <c r="G172" s="25">
        <v>10.5</v>
      </c>
      <c r="H172" s="22"/>
      <c r="I172" s="35"/>
      <c r="J172" s="38" t="str">
        <f>_xlfn.DISPIMG("ID_8F3E405E8A824240A474AF77274124B0",1)</f>
        <v>=DISPIMG("ID_8F3E405E8A824240A474AF77274124B0",1)</v>
      </c>
      <c r="K172" s="38"/>
      <c r="L172" s="38"/>
      <c r="M172" s="37"/>
    </row>
    <row r="173" ht="50" customHeight="1" spans="1:13">
      <c r="A173" s="17">
        <f t="shared" si="17"/>
        <v>170</v>
      </c>
      <c r="B173" s="18" t="s">
        <v>313</v>
      </c>
      <c r="C173" s="23" t="s">
        <v>305</v>
      </c>
      <c r="D173" s="20" t="s">
        <v>314</v>
      </c>
      <c r="E173" s="19" t="s">
        <v>51</v>
      </c>
      <c r="F173" s="19">
        <v>50</v>
      </c>
      <c r="G173" s="25">
        <v>1</v>
      </c>
      <c r="H173" s="22"/>
      <c r="I173" s="35"/>
      <c r="J173" s="38" t="str">
        <f>_xlfn.DISPIMG("ID_434F235759394B31ABBB3AAEC7BE5ED4",1)</f>
        <v>=DISPIMG("ID_434F235759394B31ABBB3AAEC7BE5ED4",1)</v>
      </c>
      <c r="K173" s="38"/>
      <c r="L173" s="38"/>
      <c r="M173" s="37"/>
    </row>
    <row r="174" ht="50" customHeight="1" spans="1:13">
      <c r="A174" s="17">
        <f t="shared" si="17"/>
        <v>171</v>
      </c>
      <c r="B174" s="26" t="s">
        <v>315</v>
      </c>
      <c r="C174" s="47" t="s">
        <v>305</v>
      </c>
      <c r="D174" s="20" t="s">
        <v>316</v>
      </c>
      <c r="E174" s="19" t="s">
        <v>51</v>
      </c>
      <c r="F174" s="19">
        <v>50</v>
      </c>
      <c r="G174" s="25">
        <v>6.5</v>
      </c>
      <c r="H174" s="22"/>
      <c r="I174" s="35"/>
      <c r="J174" s="38"/>
      <c r="K174" s="38"/>
      <c r="L174" s="39" t="s">
        <v>43</v>
      </c>
      <c r="M174" s="37"/>
    </row>
    <row r="175" ht="50" customHeight="1" spans="1:13">
      <c r="A175" s="17">
        <f t="shared" ref="A175:A184" si="18">ROW()-3</f>
        <v>172</v>
      </c>
      <c r="B175" s="18" t="s">
        <v>317</v>
      </c>
      <c r="C175" s="19" t="s">
        <v>305</v>
      </c>
      <c r="D175" s="20"/>
      <c r="E175" s="19" t="s">
        <v>51</v>
      </c>
      <c r="F175" s="19">
        <v>10</v>
      </c>
      <c r="G175" s="21">
        <v>4</v>
      </c>
      <c r="H175" s="22"/>
      <c r="I175" s="35"/>
      <c r="J175" s="36" t="str">
        <f>_xlfn.DISPIMG("ID_E552789E99CA49DBB8EA2F40C51AA5D5",1)</f>
        <v>=DISPIMG("ID_E552789E99CA49DBB8EA2F40C51AA5D5",1)</v>
      </c>
      <c r="K175" s="36"/>
      <c r="L175" s="39" t="s">
        <v>43</v>
      </c>
      <c r="M175" s="37"/>
    </row>
    <row r="176" ht="50" customHeight="1" spans="1:13">
      <c r="A176" s="17">
        <f t="shared" si="18"/>
        <v>173</v>
      </c>
      <c r="B176" s="18" t="s">
        <v>318</v>
      </c>
      <c r="C176" s="19" t="s">
        <v>305</v>
      </c>
      <c r="D176" s="20" t="s">
        <v>319</v>
      </c>
      <c r="E176" s="19" t="s">
        <v>76</v>
      </c>
      <c r="F176" s="19">
        <v>10</v>
      </c>
      <c r="G176" s="21">
        <v>5.5</v>
      </c>
      <c r="H176" s="22"/>
      <c r="I176" s="35"/>
      <c r="J176" s="36" t="str">
        <f>_xlfn.DISPIMG("ID_217903243EFE4649BF9754EBA6C6ECA8",1)</f>
        <v>=DISPIMG("ID_217903243EFE4649BF9754EBA6C6ECA8",1)</v>
      </c>
      <c r="K176" s="36"/>
      <c r="L176" s="36"/>
      <c r="M176" s="37"/>
    </row>
    <row r="177" ht="50" customHeight="1" spans="1:13">
      <c r="A177" s="17">
        <f t="shared" si="18"/>
        <v>174</v>
      </c>
      <c r="B177" s="18" t="s">
        <v>320</v>
      </c>
      <c r="C177" s="23" t="s">
        <v>305</v>
      </c>
      <c r="D177" s="20" t="s">
        <v>321</v>
      </c>
      <c r="E177" s="19" t="s">
        <v>76</v>
      </c>
      <c r="F177" s="19">
        <v>20</v>
      </c>
      <c r="G177" s="25">
        <v>54</v>
      </c>
      <c r="H177" s="22"/>
      <c r="I177" s="35"/>
      <c r="J177" s="38" t="str">
        <f>_xlfn.DISPIMG("ID_CCCF3237BAC94D5398E6C9554B69AF00",1)</f>
        <v>=DISPIMG("ID_CCCF3237BAC94D5398E6C9554B69AF00",1)</v>
      </c>
      <c r="K177" s="38"/>
      <c r="L177" s="38"/>
      <c r="M177" s="37"/>
    </row>
    <row r="178" ht="50" customHeight="1" spans="1:13">
      <c r="A178" s="17">
        <f t="shared" si="18"/>
        <v>175</v>
      </c>
      <c r="B178" s="18" t="s">
        <v>320</v>
      </c>
      <c r="C178" s="23" t="s">
        <v>305</v>
      </c>
      <c r="D178" s="20" t="s">
        <v>322</v>
      </c>
      <c r="E178" s="19" t="s">
        <v>76</v>
      </c>
      <c r="F178" s="19">
        <v>20</v>
      </c>
      <c r="G178" s="25">
        <v>24.5</v>
      </c>
      <c r="H178" s="22"/>
      <c r="I178" s="35"/>
      <c r="J178" s="38" t="str">
        <f>_xlfn.DISPIMG("ID_CCCF3237BAC94D5398E6C9554B69AF00",1)</f>
        <v>=DISPIMG("ID_CCCF3237BAC94D5398E6C9554B69AF00",1)</v>
      </c>
      <c r="K178" s="38"/>
      <c r="L178" s="38"/>
      <c r="M178" s="37"/>
    </row>
    <row r="179" ht="50" customHeight="1" spans="1:13">
      <c r="A179" s="17">
        <f t="shared" si="18"/>
        <v>176</v>
      </c>
      <c r="B179" s="18" t="s">
        <v>305</v>
      </c>
      <c r="C179" s="23" t="s">
        <v>305</v>
      </c>
      <c r="D179" s="20" t="s">
        <v>323</v>
      </c>
      <c r="E179" s="19" t="s">
        <v>51</v>
      </c>
      <c r="F179" s="19">
        <v>30</v>
      </c>
      <c r="G179" s="25">
        <v>5</v>
      </c>
      <c r="H179" s="22"/>
      <c r="I179" s="35"/>
      <c r="J179" s="40" t="str">
        <f>_xlfn.DISPIMG("ID_80ECB6E2601F41C483B380F009A9A44B",1)</f>
        <v>=DISPIMG("ID_80ECB6E2601F41C483B380F009A9A44B",1)</v>
      </c>
      <c r="K179" s="40"/>
      <c r="L179" s="38"/>
      <c r="M179" s="37"/>
    </row>
    <row r="180" ht="50" customHeight="1" spans="1:13">
      <c r="A180" s="17">
        <f t="shared" si="18"/>
        <v>177</v>
      </c>
      <c r="B180" s="18" t="s">
        <v>305</v>
      </c>
      <c r="C180" s="23" t="s">
        <v>305</v>
      </c>
      <c r="D180" s="20" t="s">
        <v>324</v>
      </c>
      <c r="E180" s="19" t="s">
        <v>51</v>
      </c>
      <c r="F180" s="19">
        <v>30</v>
      </c>
      <c r="G180" s="25">
        <v>6</v>
      </c>
      <c r="H180" s="22"/>
      <c r="I180" s="35"/>
      <c r="J180" s="40" t="str">
        <f>_xlfn.DISPIMG("ID_80ECB6E2601F41C483B380F009A9A44B",1)</f>
        <v>=DISPIMG("ID_80ECB6E2601F41C483B380F009A9A44B",1)</v>
      </c>
      <c r="K180" s="40"/>
      <c r="L180" s="38"/>
      <c r="M180" s="37"/>
    </row>
    <row r="181" ht="50" customHeight="1" spans="1:13">
      <c r="A181" s="17">
        <f t="shared" si="18"/>
        <v>178</v>
      </c>
      <c r="B181" s="18" t="s">
        <v>325</v>
      </c>
      <c r="C181" s="19"/>
      <c r="D181" s="20" t="s">
        <v>326</v>
      </c>
      <c r="E181" s="19" t="s">
        <v>327</v>
      </c>
      <c r="F181" s="19">
        <v>10</v>
      </c>
      <c r="G181" s="25">
        <v>20</v>
      </c>
      <c r="H181" s="22"/>
      <c r="I181" s="35"/>
      <c r="J181" s="38" t="str">
        <f>_xlfn.DISPIMG("ID_F5194F4DAB1A4107856E8BF2CD0F097A",1)</f>
        <v>=DISPIMG("ID_F5194F4DAB1A4107856E8BF2CD0F097A",1)</v>
      </c>
      <c r="K181" s="38"/>
      <c r="L181" s="38"/>
      <c r="M181" s="37"/>
    </row>
    <row r="182" ht="50" customHeight="1" spans="1:13">
      <c r="A182" s="17">
        <f t="shared" si="18"/>
        <v>179</v>
      </c>
      <c r="B182" s="18" t="s">
        <v>328</v>
      </c>
      <c r="C182" s="19"/>
      <c r="D182" s="20"/>
      <c r="E182" s="19" t="s">
        <v>76</v>
      </c>
      <c r="F182" s="19">
        <v>50</v>
      </c>
      <c r="G182" s="21">
        <v>2</v>
      </c>
      <c r="H182" s="22"/>
      <c r="I182" s="35"/>
      <c r="J182" s="36" t="str">
        <f>_xlfn.DISPIMG("ID_01BDBF2E8E454F458B78964688A7C8E1",1)</f>
        <v>=DISPIMG("ID_01BDBF2E8E454F458B78964688A7C8E1",1)</v>
      </c>
      <c r="K182" s="36"/>
      <c r="L182" s="36"/>
      <c r="M182" s="37"/>
    </row>
    <row r="183" ht="50" customHeight="1" spans="1:13">
      <c r="A183" s="17">
        <f t="shared" si="18"/>
        <v>180</v>
      </c>
      <c r="B183" s="18" t="s">
        <v>329</v>
      </c>
      <c r="C183" s="19"/>
      <c r="D183" s="20" t="s">
        <v>330</v>
      </c>
      <c r="E183" s="19" t="s">
        <v>51</v>
      </c>
      <c r="F183" s="19">
        <v>50</v>
      </c>
      <c r="G183" s="21">
        <v>3</v>
      </c>
      <c r="H183" s="22"/>
      <c r="I183" s="35"/>
      <c r="J183" s="36" t="str">
        <f>_xlfn.DISPIMG("ID_57C7AD5163B44113BC8D5F28F6F54189",1)</f>
        <v>=DISPIMG("ID_57C7AD5163B44113BC8D5F28F6F54189",1)</v>
      </c>
      <c r="K183" s="36"/>
      <c r="L183" s="36"/>
      <c r="M183" s="37"/>
    </row>
    <row r="184" ht="50" customHeight="1" spans="1:13">
      <c r="A184" s="17">
        <f t="shared" si="18"/>
        <v>181</v>
      </c>
      <c r="B184" s="18" t="s">
        <v>331</v>
      </c>
      <c r="C184" s="19"/>
      <c r="D184" s="20" t="s">
        <v>332</v>
      </c>
      <c r="E184" s="19" t="s">
        <v>42</v>
      </c>
      <c r="F184" s="19">
        <v>10</v>
      </c>
      <c r="G184" s="21">
        <v>11.5</v>
      </c>
      <c r="H184" s="22"/>
      <c r="I184" s="35"/>
      <c r="J184" s="36" t="str">
        <f>_xlfn.DISPIMG("ID_3B43D7E0168E48D1B6B4B72A75771079",1)</f>
        <v>=DISPIMG("ID_3B43D7E0168E48D1B6B4B72A75771079",1)</v>
      </c>
      <c r="K184" s="39" t="s">
        <v>43</v>
      </c>
      <c r="L184" s="39" t="s">
        <v>43</v>
      </c>
      <c r="M184" s="37"/>
    </row>
    <row r="185" ht="50" customHeight="1" spans="1:13">
      <c r="A185" s="17">
        <f t="shared" ref="A185:A194" si="19">ROW()-3</f>
        <v>182</v>
      </c>
      <c r="B185" s="18" t="s">
        <v>333</v>
      </c>
      <c r="C185" s="23"/>
      <c r="D185" s="20"/>
      <c r="E185" s="19" t="s">
        <v>42</v>
      </c>
      <c r="F185" s="19">
        <v>25</v>
      </c>
      <c r="G185" s="25">
        <v>11</v>
      </c>
      <c r="H185" s="22"/>
      <c r="I185" s="35"/>
      <c r="J185" s="38" t="str">
        <f>_xlfn.DISPIMG("ID_62A8DE633B8E4E749E21A39AFF137315",1)</f>
        <v>=DISPIMG("ID_62A8DE633B8E4E749E21A39AFF137315",1)</v>
      </c>
      <c r="K185" s="38"/>
      <c r="L185" s="38"/>
      <c r="M185" s="37"/>
    </row>
    <row r="186" ht="50" customHeight="1" spans="1:13">
      <c r="A186" s="17">
        <f t="shared" si="19"/>
        <v>183</v>
      </c>
      <c r="B186" s="18" t="s">
        <v>334</v>
      </c>
      <c r="C186" s="19"/>
      <c r="D186" s="20" t="s">
        <v>335</v>
      </c>
      <c r="E186" s="19" t="s">
        <v>51</v>
      </c>
      <c r="F186" s="19">
        <v>10</v>
      </c>
      <c r="G186" s="25">
        <v>2.6</v>
      </c>
      <c r="H186" s="22"/>
      <c r="I186" s="35"/>
      <c r="J186" s="38" t="str">
        <f>_xlfn.DISPIMG("ID_A991C85A9983403185DFC04FB4A8AE76",1)</f>
        <v>=DISPIMG("ID_A991C85A9983403185DFC04FB4A8AE76",1)</v>
      </c>
      <c r="K186" s="38"/>
      <c r="L186" s="38"/>
      <c r="M186" s="37"/>
    </row>
    <row r="187" ht="50" customHeight="1" spans="1:13">
      <c r="A187" s="17">
        <f t="shared" si="19"/>
        <v>184</v>
      </c>
      <c r="B187" s="18" t="s">
        <v>334</v>
      </c>
      <c r="C187" s="19"/>
      <c r="D187" s="20" t="s">
        <v>336</v>
      </c>
      <c r="E187" s="19" t="s">
        <v>51</v>
      </c>
      <c r="F187" s="19">
        <v>50</v>
      </c>
      <c r="G187" s="25">
        <v>9.7</v>
      </c>
      <c r="H187" s="22"/>
      <c r="I187" s="35"/>
      <c r="J187" s="38" t="str">
        <f>_xlfn.DISPIMG("ID_36A6E454EE8E4D339B249C1FADE511D4",1)</f>
        <v>=DISPIMG("ID_36A6E454EE8E4D339B249C1FADE511D4",1)</v>
      </c>
      <c r="K187" s="38"/>
      <c r="L187" s="38"/>
      <c r="M187" s="37"/>
    </row>
    <row r="188" ht="50" customHeight="1" spans="1:13">
      <c r="A188" s="17">
        <f t="shared" si="19"/>
        <v>185</v>
      </c>
      <c r="B188" s="18" t="s">
        <v>337</v>
      </c>
      <c r="C188" s="19"/>
      <c r="D188" s="20" t="s">
        <v>338</v>
      </c>
      <c r="E188" s="19" t="s">
        <v>42</v>
      </c>
      <c r="F188" s="19">
        <v>10</v>
      </c>
      <c r="G188" s="25">
        <v>2.3</v>
      </c>
      <c r="H188" s="22"/>
      <c r="I188" s="35"/>
      <c r="J188" s="38" t="str">
        <f>_xlfn.DISPIMG("ID_711EBB5E2E744DF3B23EE6690F11B6B6",1)</f>
        <v>=DISPIMG("ID_711EBB5E2E744DF3B23EE6690F11B6B6",1)</v>
      </c>
      <c r="K188" s="38"/>
      <c r="L188" s="38"/>
      <c r="M188" s="37"/>
    </row>
    <row r="189" ht="50" customHeight="1" spans="1:13">
      <c r="A189" s="17">
        <f t="shared" si="19"/>
        <v>186</v>
      </c>
      <c r="B189" s="18" t="s">
        <v>339</v>
      </c>
      <c r="C189" s="23"/>
      <c r="D189" s="20" t="s">
        <v>340</v>
      </c>
      <c r="E189" s="19" t="s">
        <v>28</v>
      </c>
      <c r="F189" s="17">
        <v>45</v>
      </c>
      <c r="G189" s="21">
        <v>1.5</v>
      </c>
      <c r="H189" s="22"/>
      <c r="I189" s="35"/>
      <c r="J189" s="36"/>
      <c r="K189" s="36"/>
      <c r="L189" s="36"/>
      <c r="M189" s="37"/>
    </row>
    <row r="190" ht="50" customHeight="1" spans="1:13">
      <c r="A190" s="17">
        <f t="shared" si="19"/>
        <v>187</v>
      </c>
      <c r="B190" s="18" t="s">
        <v>341</v>
      </c>
      <c r="C190" s="19"/>
      <c r="D190" s="20" t="s">
        <v>342</v>
      </c>
      <c r="E190" s="19" t="s">
        <v>51</v>
      </c>
      <c r="F190" s="19">
        <v>10</v>
      </c>
      <c r="G190" s="25">
        <v>4</v>
      </c>
      <c r="H190" s="22"/>
      <c r="I190" s="35"/>
      <c r="J190" s="38" t="str">
        <f>_xlfn.DISPIMG("ID_130E30D4A0624E96843BCC90269A4CE5",1)</f>
        <v>=DISPIMG("ID_130E30D4A0624E96843BCC90269A4CE5",1)</v>
      </c>
      <c r="K190" s="38"/>
      <c r="L190" s="38"/>
      <c r="M190" s="37"/>
    </row>
    <row r="191" ht="50" customHeight="1" spans="1:13">
      <c r="A191" s="17">
        <f t="shared" si="19"/>
        <v>188</v>
      </c>
      <c r="B191" s="18" t="s">
        <v>107</v>
      </c>
      <c r="C191" s="23"/>
      <c r="D191" s="20" t="s">
        <v>343</v>
      </c>
      <c r="E191" s="19" t="s">
        <v>51</v>
      </c>
      <c r="F191" s="19">
        <v>43</v>
      </c>
      <c r="G191" s="25">
        <v>8.8</v>
      </c>
      <c r="H191" s="22"/>
      <c r="I191" s="35"/>
      <c r="J191" s="38" t="str">
        <f>_xlfn.DISPIMG("ID_CE265432578743059277D70C6B60932C",1)</f>
        <v>=DISPIMG("ID_CE265432578743059277D70C6B60932C",1)</v>
      </c>
      <c r="K191" s="38"/>
      <c r="L191" s="38"/>
      <c r="M191" s="37"/>
    </row>
    <row r="192" ht="50" customHeight="1" spans="1:13">
      <c r="A192" s="17">
        <f t="shared" si="19"/>
        <v>189</v>
      </c>
      <c r="B192" s="18" t="s">
        <v>344</v>
      </c>
      <c r="C192" s="19"/>
      <c r="D192" s="20"/>
      <c r="E192" s="19" t="s">
        <v>42</v>
      </c>
      <c r="F192" s="19">
        <v>10</v>
      </c>
      <c r="G192" s="21">
        <v>2.3</v>
      </c>
      <c r="H192" s="22"/>
      <c r="I192" s="35"/>
      <c r="J192" s="36" t="str">
        <f>_xlfn.DISPIMG("ID_E5BD3169854F4B08B86E2365684BFCEF",1)</f>
        <v>=DISPIMG("ID_E5BD3169854F4B08B86E2365684BFCEF",1)</v>
      </c>
      <c r="K192" s="36"/>
      <c r="L192" s="36"/>
      <c r="M192" s="37"/>
    </row>
    <row r="193" ht="50" customHeight="1" spans="1:13">
      <c r="A193" s="17">
        <f t="shared" si="19"/>
        <v>190</v>
      </c>
      <c r="B193" s="18" t="s">
        <v>345</v>
      </c>
      <c r="C193" s="19"/>
      <c r="D193" s="20" t="s">
        <v>346</v>
      </c>
      <c r="E193" s="19" t="s">
        <v>51</v>
      </c>
      <c r="F193" s="19">
        <v>20</v>
      </c>
      <c r="G193" s="21">
        <v>2.1</v>
      </c>
      <c r="H193" s="22"/>
      <c r="I193" s="35"/>
      <c r="J193" s="36" t="str">
        <f>_xlfn.DISPIMG("ID_A369772724674F75A57DA2F8FCC5DED9",1)</f>
        <v>=DISPIMG("ID_A369772724674F75A57DA2F8FCC5DED9",1)</v>
      </c>
      <c r="K193" s="36"/>
      <c r="L193" s="36"/>
      <c r="M193" s="37"/>
    </row>
    <row r="194" ht="50" customHeight="1" spans="1:13">
      <c r="A194" s="17">
        <f t="shared" si="19"/>
        <v>191</v>
      </c>
      <c r="B194" s="18" t="s">
        <v>345</v>
      </c>
      <c r="C194" s="19"/>
      <c r="D194" s="20" t="s">
        <v>347</v>
      </c>
      <c r="E194" s="19" t="s">
        <v>51</v>
      </c>
      <c r="F194" s="19">
        <v>25</v>
      </c>
      <c r="G194" s="21">
        <v>2.5</v>
      </c>
      <c r="H194" s="22"/>
      <c r="I194" s="35"/>
      <c r="J194" s="36" t="str">
        <f>_xlfn.DISPIMG("ID_A369772724674F75A57DA2F8FCC5DED9",1)</f>
        <v>=DISPIMG("ID_A369772724674F75A57DA2F8FCC5DED9",1)</v>
      </c>
      <c r="K194" s="36"/>
      <c r="L194" s="36"/>
      <c r="M194" s="37"/>
    </row>
    <row r="195" ht="50" customHeight="1" spans="1:13">
      <c r="A195" s="17">
        <f t="shared" ref="A195:A204" si="20">ROW()-3</f>
        <v>192</v>
      </c>
      <c r="B195" s="18" t="s">
        <v>348</v>
      </c>
      <c r="C195" s="19"/>
      <c r="D195" s="20" t="s">
        <v>47</v>
      </c>
      <c r="E195" s="19" t="s">
        <v>51</v>
      </c>
      <c r="F195" s="19">
        <v>10</v>
      </c>
      <c r="G195" s="25">
        <v>3</v>
      </c>
      <c r="H195" s="22"/>
      <c r="I195" s="35"/>
      <c r="J195" s="38" t="str">
        <f>_xlfn.DISPIMG("ID_D1B432DB7BF449E5B73030CCD1810D49",1)</f>
        <v>=DISPIMG("ID_D1B432DB7BF449E5B73030CCD1810D49",1)</v>
      </c>
      <c r="K195" s="38"/>
      <c r="L195" s="38"/>
      <c r="M195" s="37"/>
    </row>
    <row r="196" ht="50" customHeight="1" spans="1:13">
      <c r="A196" s="17">
        <f t="shared" si="20"/>
        <v>193</v>
      </c>
      <c r="B196" s="18" t="s">
        <v>349</v>
      </c>
      <c r="C196" s="19"/>
      <c r="D196" s="20" t="s">
        <v>299</v>
      </c>
      <c r="E196" s="19" t="s">
        <v>51</v>
      </c>
      <c r="F196" s="19">
        <v>10</v>
      </c>
      <c r="G196" s="25">
        <v>6.3</v>
      </c>
      <c r="H196" s="22"/>
      <c r="I196" s="35"/>
      <c r="J196" s="38" t="str">
        <f>_xlfn.DISPIMG("ID_3AFC220E5EC1495AA987E1E1A90C76C2",1)</f>
        <v>=DISPIMG("ID_3AFC220E5EC1495AA987E1E1A90C76C2",1)</v>
      </c>
      <c r="K196" s="38"/>
      <c r="L196" s="38"/>
      <c r="M196" s="37"/>
    </row>
    <row r="197" ht="50" customHeight="1" spans="1:13">
      <c r="A197" s="17">
        <f t="shared" si="20"/>
        <v>194</v>
      </c>
      <c r="B197" s="18" t="s">
        <v>350</v>
      </c>
      <c r="C197" s="19"/>
      <c r="D197" s="20" t="s">
        <v>351</v>
      </c>
      <c r="E197" s="19" t="s">
        <v>88</v>
      </c>
      <c r="F197" s="19">
        <v>10</v>
      </c>
      <c r="G197" s="25">
        <v>4.8</v>
      </c>
      <c r="H197" s="22"/>
      <c r="I197" s="35"/>
      <c r="J197" s="38" t="str">
        <f>_xlfn.DISPIMG("ID_147CF2F49B3C40028A2D45ADBDCA4A29",1)</f>
        <v>=DISPIMG("ID_147CF2F49B3C40028A2D45ADBDCA4A29",1)</v>
      </c>
      <c r="K197" s="38"/>
      <c r="L197" s="38"/>
      <c r="M197" s="37"/>
    </row>
    <row r="198" ht="50" customHeight="1" spans="1:13">
      <c r="A198" s="17">
        <f t="shared" si="20"/>
        <v>195</v>
      </c>
      <c r="B198" s="18" t="s">
        <v>352</v>
      </c>
      <c r="C198" s="23"/>
      <c r="D198" s="24" t="s">
        <v>353</v>
      </c>
      <c r="E198" s="17" t="s">
        <v>51</v>
      </c>
      <c r="F198" s="17">
        <v>50</v>
      </c>
      <c r="G198" s="21">
        <v>8.5</v>
      </c>
      <c r="H198" s="22"/>
      <c r="I198" s="35"/>
      <c r="J198" s="36"/>
      <c r="K198" s="36"/>
      <c r="L198" s="36"/>
      <c r="M198" s="37"/>
    </row>
    <row r="199" ht="50" customHeight="1" spans="1:13">
      <c r="A199" s="17">
        <f t="shared" si="20"/>
        <v>196</v>
      </c>
      <c r="B199" s="18" t="s">
        <v>354</v>
      </c>
      <c r="C199" s="23"/>
      <c r="D199" s="20" t="s">
        <v>355</v>
      </c>
      <c r="E199" s="19" t="s">
        <v>72</v>
      </c>
      <c r="F199" s="17">
        <v>10</v>
      </c>
      <c r="G199" s="21">
        <v>19.5</v>
      </c>
      <c r="H199" s="22"/>
      <c r="I199" s="35"/>
      <c r="J199" s="36" t="str">
        <f>_xlfn.DISPIMG("ID_1A4FB94821F541C0BD9F6BE1DC5A0D6F",1)</f>
        <v>=DISPIMG("ID_1A4FB94821F541C0BD9F6BE1DC5A0D6F",1)</v>
      </c>
      <c r="K199" s="36"/>
      <c r="L199" s="36"/>
      <c r="M199" s="37"/>
    </row>
    <row r="200" ht="50" customHeight="1" spans="1:13">
      <c r="A200" s="17">
        <f t="shared" si="20"/>
        <v>197</v>
      </c>
      <c r="B200" s="18" t="s">
        <v>356</v>
      </c>
      <c r="C200" s="19"/>
      <c r="D200" s="20" t="s">
        <v>357</v>
      </c>
      <c r="E200" s="19" t="s">
        <v>51</v>
      </c>
      <c r="F200" s="19">
        <v>200</v>
      </c>
      <c r="G200" s="21">
        <v>1</v>
      </c>
      <c r="H200" s="22"/>
      <c r="I200" s="35"/>
      <c r="J200" s="36" t="str">
        <f>_xlfn.DISPIMG("ID_9A69E9A75DEF43669FEA64744AD37AFF",1)</f>
        <v>=DISPIMG("ID_9A69E9A75DEF43669FEA64744AD37AFF",1)</v>
      </c>
      <c r="K200" s="39" t="s">
        <v>43</v>
      </c>
      <c r="L200" s="36"/>
      <c r="M200" s="37"/>
    </row>
    <row r="201" ht="50" customHeight="1" spans="1:13">
      <c r="A201" s="17">
        <f t="shared" si="20"/>
        <v>198</v>
      </c>
      <c r="B201" s="18" t="s">
        <v>358</v>
      </c>
      <c r="C201" s="19"/>
      <c r="D201" s="20"/>
      <c r="E201" s="19" t="s">
        <v>51</v>
      </c>
      <c r="F201" s="19">
        <v>10</v>
      </c>
      <c r="G201" s="25">
        <v>19</v>
      </c>
      <c r="H201" s="22"/>
      <c r="I201" s="35"/>
      <c r="J201" s="38" t="str">
        <f>_xlfn.DISPIMG("ID_C6BA994255B34496B8997AFD6289D589",1)</f>
        <v>=DISPIMG("ID_C6BA994255B34496B8997AFD6289D589",1)</v>
      </c>
      <c r="K201" s="39" t="s">
        <v>43</v>
      </c>
      <c r="L201" s="38"/>
      <c r="M201" s="37"/>
    </row>
    <row r="202" ht="50" customHeight="1" spans="1:13">
      <c r="A202" s="17">
        <f t="shared" si="20"/>
        <v>199</v>
      </c>
      <c r="B202" s="18" t="s">
        <v>359</v>
      </c>
      <c r="C202" s="19"/>
      <c r="D202" s="20"/>
      <c r="E202" s="19" t="s">
        <v>360</v>
      </c>
      <c r="F202" s="19">
        <v>10</v>
      </c>
      <c r="G202" s="25">
        <v>10</v>
      </c>
      <c r="H202" s="22"/>
      <c r="I202" s="35"/>
      <c r="J202" s="38" t="str">
        <f>_xlfn.DISPIMG("ID_782748A606C04436B35DBD2262CBAE60",1)</f>
        <v>=DISPIMG("ID_782748A606C04436B35DBD2262CBAE60",1)</v>
      </c>
      <c r="K202" s="38"/>
      <c r="L202" s="38"/>
      <c r="M202" s="37"/>
    </row>
    <row r="203" ht="50" customHeight="1" spans="1:13">
      <c r="A203" s="17">
        <f t="shared" si="20"/>
        <v>200</v>
      </c>
      <c r="B203" s="18" t="s">
        <v>361</v>
      </c>
      <c r="C203" s="19"/>
      <c r="D203" s="20" t="s">
        <v>362</v>
      </c>
      <c r="E203" s="19" t="s">
        <v>51</v>
      </c>
      <c r="F203" s="19">
        <v>10</v>
      </c>
      <c r="G203" s="25">
        <v>5.5</v>
      </c>
      <c r="H203" s="22"/>
      <c r="I203" s="35"/>
      <c r="J203" s="38" t="str">
        <f>_xlfn.DISPIMG("ID_AAE011CB10484FA7B1BDE02CE65FFEBE",1)</f>
        <v>=DISPIMG("ID_AAE011CB10484FA7B1BDE02CE65FFEBE",1)</v>
      </c>
      <c r="K203" s="38"/>
      <c r="L203" s="38"/>
      <c r="M203" s="37"/>
    </row>
    <row r="204" ht="50" customHeight="1" spans="1:13">
      <c r="A204" s="17">
        <f t="shared" si="20"/>
        <v>201</v>
      </c>
      <c r="B204" s="18" t="s">
        <v>363</v>
      </c>
      <c r="C204" s="23"/>
      <c r="D204" s="20" t="s">
        <v>364</v>
      </c>
      <c r="E204" s="19" t="s">
        <v>88</v>
      </c>
      <c r="F204" s="19">
        <v>105</v>
      </c>
      <c r="G204" s="25">
        <v>5.5</v>
      </c>
      <c r="H204" s="22"/>
      <c r="I204" s="35"/>
      <c r="J204" s="38" t="str">
        <f>_xlfn.DISPIMG("ID_4B1805D63BA64B8B84983B59385ABF66",1)</f>
        <v>=DISPIMG("ID_4B1805D63BA64B8B84983B59385ABF66",1)</v>
      </c>
      <c r="K204" s="38"/>
      <c r="L204" s="38"/>
      <c r="M204" s="37"/>
    </row>
    <row r="205" ht="50" customHeight="1" spans="1:13">
      <c r="A205" s="17">
        <f t="shared" ref="A205:A214" si="21">ROW()-3</f>
        <v>202</v>
      </c>
      <c r="B205" s="18" t="s">
        <v>365</v>
      </c>
      <c r="C205" s="23"/>
      <c r="D205" s="20"/>
      <c r="E205" s="19" t="s">
        <v>42</v>
      </c>
      <c r="F205" s="17">
        <v>30</v>
      </c>
      <c r="G205" s="21">
        <v>2.8</v>
      </c>
      <c r="H205" s="22"/>
      <c r="I205" s="35"/>
      <c r="J205" s="36" t="str">
        <f>_xlfn.DISPIMG("ID_5267EF18F6774697BFB540299E42AEB3",1)</f>
        <v>=DISPIMG("ID_5267EF18F6774697BFB540299E42AEB3",1)</v>
      </c>
      <c r="K205" s="36"/>
      <c r="L205" s="36"/>
      <c r="M205" s="37"/>
    </row>
    <row r="206" ht="50" customHeight="1" spans="1:13">
      <c r="A206" s="17">
        <f t="shared" si="21"/>
        <v>203</v>
      </c>
      <c r="B206" s="18" t="s">
        <v>366</v>
      </c>
      <c r="C206" s="19"/>
      <c r="D206" s="20" t="s">
        <v>367</v>
      </c>
      <c r="E206" s="19" t="s">
        <v>42</v>
      </c>
      <c r="F206" s="19">
        <v>5</v>
      </c>
      <c r="G206" s="21">
        <v>8</v>
      </c>
      <c r="H206" s="22"/>
      <c r="I206" s="35"/>
      <c r="J206" s="36" t="str">
        <f>_xlfn.DISPIMG("ID_344E3A3B709B470E893957259DEA2839",1)</f>
        <v>=DISPIMG("ID_344E3A3B709B470E893957259DEA2839",1)</v>
      </c>
      <c r="K206" s="39" t="s">
        <v>43</v>
      </c>
      <c r="L206" s="36"/>
      <c r="M206" s="37"/>
    </row>
    <row r="207" ht="50" customHeight="1" spans="1:13">
      <c r="A207" s="17">
        <f t="shared" si="21"/>
        <v>204</v>
      </c>
      <c r="B207" s="18" t="s">
        <v>368</v>
      </c>
      <c r="C207" s="23"/>
      <c r="D207" s="20" t="s">
        <v>171</v>
      </c>
      <c r="E207" s="19" t="s">
        <v>88</v>
      </c>
      <c r="F207" s="19">
        <v>120</v>
      </c>
      <c r="G207" s="25">
        <v>10.5</v>
      </c>
      <c r="H207" s="22"/>
      <c r="I207" s="35"/>
      <c r="J207" s="38" t="str">
        <f>_xlfn.DISPIMG("ID_CF10D654189B451CAA3DCAC5B2BCA25C",1)</f>
        <v>=DISPIMG("ID_CF10D654189B451CAA3DCAC5B2BCA25C",1)</v>
      </c>
      <c r="K207" s="38"/>
      <c r="L207" s="38"/>
      <c r="M207" s="37"/>
    </row>
    <row r="208" ht="50" customHeight="1" spans="1:13">
      <c r="A208" s="17">
        <f t="shared" si="21"/>
        <v>205</v>
      </c>
      <c r="B208" s="18" t="s">
        <v>369</v>
      </c>
      <c r="C208" s="19"/>
      <c r="D208" s="20" t="s">
        <v>370</v>
      </c>
      <c r="E208" s="19" t="s">
        <v>31</v>
      </c>
      <c r="F208" s="19">
        <v>100</v>
      </c>
      <c r="G208" s="21">
        <v>7.5</v>
      </c>
      <c r="H208" s="22"/>
      <c r="I208" s="35"/>
      <c r="J208" s="36" t="str">
        <f>_xlfn.DISPIMG("ID_10CACD9198AA43FBA043E36B380E9440",1)</f>
        <v>=DISPIMG("ID_10CACD9198AA43FBA043E36B380E9440",1)</v>
      </c>
      <c r="K208" s="36"/>
      <c r="L208" s="36"/>
      <c r="M208" s="37"/>
    </row>
    <row r="209" ht="50" customHeight="1" spans="1:13">
      <c r="A209" s="17">
        <f t="shared" si="21"/>
        <v>206</v>
      </c>
      <c r="B209" s="18" t="s">
        <v>371</v>
      </c>
      <c r="C209" s="19"/>
      <c r="D209" s="20" t="s">
        <v>206</v>
      </c>
      <c r="E209" s="19" t="s">
        <v>88</v>
      </c>
      <c r="F209" s="19">
        <v>10</v>
      </c>
      <c r="G209" s="25">
        <v>8.5</v>
      </c>
      <c r="H209" s="22"/>
      <c r="I209" s="35"/>
      <c r="J209" s="38" t="str">
        <f>_xlfn.DISPIMG("ID_EF827B04D70C4683ADC06983F4E5D275",1)</f>
        <v>=DISPIMG("ID_EF827B04D70C4683ADC06983F4E5D275",1)</v>
      </c>
      <c r="K209" s="38"/>
      <c r="L209" s="38"/>
      <c r="M209" s="37"/>
    </row>
    <row r="210" ht="50" customHeight="1" spans="1:13">
      <c r="A210" s="17">
        <f t="shared" si="21"/>
        <v>207</v>
      </c>
      <c r="B210" s="18" t="s">
        <v>192</v>
      </c>
      <c r="C210" s="19"/>
      <c r="D210" s="20" t="s">
        <v>143</v>
      </c>
      <c r="E210" s="19" t="s">
        <v>88</v>
      </c>
      <c r="F210" s="19">
        <v>80</v>
      </c>
      <c r="G210" s="21">
        <v>20</v>
      </c>
      <c r="H210" s="22"/>
      <c r="I210" s="35"/>
      <c r="J210" s="36" t="str">
        <f>_xlfn.DISPIMG("ID_0500A77EBB964D68BFB2F8B4867FFF7B",1)</f>
        <v>=DISPIMG("ID_0500A77EBB964D68BFB2F8B4867FFF7B",1)</v>
      </c>
      <c r="K210" s="36"/>
      <c r="L210" s="36"/>
      <c r="M210" s="37"/>
    </row>
    <row r="211" ht="50" customHeight="1" spans="1:13">
      <c r="A211" s="17">
        <f t="shared" si="21"/>
        <v>208</v>
      </c>
      <c r="B211" s="18" t="s">
        <v>372</v>
      </c>
      <c r="C211" s="19"/>
      <c r="D211" s="20" t="s">
        <v>373</v>
      </c>
      <c r="E211" s="19" t="s">
        <v>88</v>
      </c>
      <c r="F211" s="19">
        <v>60</v>
      </c>
      <c r="G211" s="21">
        <v>6.7</v>
      </c>
      <c r="H211" s="22"/>
      <c r="I211" s="35"/>
      <c r="J211" s="36" t="str">
        <f>_xlfn.DISPIMG("ID_48CCF7952B5840B09451F6ECAF12713C",1)</f>
        <v>=DISPIMG("ID_48CCF7952B5840B09451F6ECAF12713C",1)</v>
      </c>
      <c r="K211" s="36"/>
      <c r="L211" s="36"/>
      <c r="M211" s="37"/>
    </row>
    <row r="212" ht="50" customHeight="1" spans="1:13">
      <c r="A212" s="17">
        <f t="shared" si="21"/>
        <v>209</v>
      </c>
      <c r="B212" s="18" t="s">
        <v>374</v>
      </c>
      <c r="C212" s="19"/>
      <c r="D212" s="20" t="s">
        <v>375</v>
      </c>
      <c r="E212" s="19" t="s">
        <v>28</v>
      </c>
      <c r="F212" s="19">
        <v>10</v>
      </c>
      <c r="G212" s="21">
        <v>93</v>
      </c>
      <c r="H212" s="22"/>
      <c r="I212" s="35"/>
      <c r="J212" s="36" t="str">
        <f>_xlfn.DISPIMG("ID_EDE8C9351D3A42AA887646EF7A885342",1)</f>
        <v>=DISPIMG("ID_EDE8C9351D3A42AA887646EF7A885342",1)</v>
      </c>
      <c r="K212" s="36"/>
      <c r="L212" s="36"/>
      <c r="M212" s="37"/>
    </row>
    <row r="213" ht="50" customHeight="1" spans="1:13">
      <c r="A213" s="17">
        <f t="shared" si="21"/>
        <v>210</v>
      </c>
      <c r="B213" s="18" t="s">
        <v>374</v>
      </c>
      <c r="C213" s="19"/>
      <c r="D213" s="20" t="s">
        <v>376</v>
      </c>
      <c r="E213" s="19" t="s">
        <v>28</v>
      </c>
      <c r="F213" s="19">
        <v>10</v>
      </c>
      <c r="G213" s="21">
        <v>105</v>
      </c>
      <c r="H213" s="22"/>
      <c r="I213" s="35"/>
      <c r="J213" s="36" t="str">
        <f>_xlfn.DISPIMG("ID_EDE8C9351D3A42AA887646EF7A885342",1)</f>
        <v>=DISPIMG("ID_EDE8C9351D3A42AA887646EF7A885342",1)</v>
      </c>
      <c r="K213" s="36"/>
      <c r="L213" s="39" t="s">
        <v>43</v>
      </c>
      <c r="M213" s="37"/>
    </row>
    <row r="214" ht="50" customHeight="1" spans="1:13">
      <c r="A214" s="17">
        <f t="shared" si="21"/>
        <v>211</v>
      </c>
      <c r="B214" s="18" t="s">
        <v>377</v>
      </c>
      <c r="C214" s="19"/>
      <c r="D214" s="20" t="s">
        <v>378</v>
      </c>
      <c r="E214" s="19" t="s">
        <v>42</v>
      </c>
      <c r="F214" s="19">
        <v>10</v>
      </c>
      <c r="G214" s="25">
        <v>12.5</v>
      </c>
      <c r="H214" s="22"/>
      <c r="I214" s="35"/>
      <c r="J214" s="38" t="str">
        <f>_xlfn.DISPIMG("ID_E2DF9A945D0A42EF929287C9BE1B6A9B",1)</f>
        <v>=DISPIMG("ID_E2DF9A945D0A42EF929287C9BE1B6A9B",1)</v>
      </c>
      <c r="K214" s="39" t="s">
        <v>43</v>
      </c>
      <c r="L214" s="39" t="s">
        <v>43</v>
      </c>
      <c r="M214" s="37"/>
    </row>
    <row r="215" ht="50" customHeight="1" spans="1:13">
      <c r="A215" s="17">
        <f t="shared" ref="A215:A224" si="22">ROW()-3</f>
        <v>212</v>
      </c>
      <c r="B215" s="18" t="s">
        <v>379</v>
      </c>
      <c r="C215" s="23"/>
      <c r="D215" s="20" t="s">
        <v>380</v>
      </c>
      <c r="E215" s="19" t="s">
        <v>42</v>
      </c>
      <c r="F215" s="17">
        <v>70</v>
      </c>
      <c r="G215" s="21">
        <v>6.5</v>
      </c>
      <c r="H215" s="22"/>
      <c r="I215" s="35"/>
      <c r="J215" s="36" t="str">
        <f>_xlfn.DISPIMG("ID_A1827E84E0D74875B8F18D46E85FEF61",1)</f>
        <v>=DISPIMG("ID_A1827E84E0D74875B8F18D46E85FEF61",1)</v>
      </c>
      <c r="K215" s="39" t="s">
        <v>43</v>
      </c>
      <c r="L215" s="36"/>
      <c r="M215" s="37"/>
    </row>
    <row r="216" ht="50" customHeight="1" spans="1:13">
      <c r="A216" s="17">
        <f t="shared" si="22"/>
        <v>213</v>
      </c>
      <c r="B216" s="27" t="s">
        <v>381</v>
      </c>
      <c r="C216" s="28"/>
      <c r="D216" s="29"/>
      <c r="E216" s="29" t="s">
        <v>113</v>
      </c>
      <c r="F216" s="20">
        <v>50</v>
      </c>
      <c r="G216" s="25">
        <v>2.7</v>
      </c>
      <c r="H216" s="22"/>
      <c r="I216" s="35"/>
      <c r="J216" s="42"/>
      <c r="K216" s="42"/>
      <c r="L216" s="42"/>
      <c r="M216" s="43"/>
    </row>
    <row r="217" ht="50" customHeight="1" spans="1:13">
      <c r="A217" s="17">
        <f t="shared" si="22"/>
        <v>214</v>
      </c>
      <c r="B217" s="18" t="s">
        <v>382</v>
      </c>
      <c r="C217" s="23"/>
      <c r="D217" s="20" t="s">
        <v>383</v>
      </c>
      <c r="E217" s="19" t="s">
        <v>42</v>
      </c>
      <c r="F217" s="17">
        <v>5</v>
      </c>
      <c r="G217" s="21">
        <v>58</v>
      </c>
      <c r="H217" s="22"/>
      <c r="I217" s="35"/>
      <c r="J217" s="36"/>
      <c r="K217" s="36"/>
      <c r="L217" s="36"/>
      <c r="M217" s="37"/>
    </row>
    <row r="218" ht="50" customHeight="1" spans="1:13">
      <c r="A218" s="17">
        <f t="shared" si="22"/>
        <v>215</v>
      </c>
      <c r="B218" s="18" t="s">
        <v>384</v>
      </c>
      <c r="C218" s="23"/>
      <c r="D218" s="20" t="s">
        <v>385</v>
      </c>
      <c r="E218" s="19" t="s">
        <v>51</v>
      </c>
      <c r="F218" s="17">
        <v>275</v>
      </c>
      <c r="G218" s="21">
        <v>0.6</v>
      </c>
      <c r="H218" s="22"/>
      <c r="I218" s="35"/>
      <c r="J218" s="36" t="str">
        <f>_xlfn.DISPIMG("ID_7101938C240D478297F5E6ABD06BB0D8",1)</f>
        <v>=DISPIMG("ID_7101938C240D478297F5E6ABD06BB0D8",1)</v>
      </c>
      <c r="K218" s="39"/>
      <c r="L218" s="36"/>
      <c r="M218" s="37"/>
    </row>
    <row r="219" ht="50" customHeight="1" spans="1:13">
      <c r="A219" s="17">
        <f t="shared" si="22"/>
        <v>216</v>
      </c>
      <c r="B219" s="18" t="s">
        <v>386</v>
      </c>
      <c r="C219" s="23"/>
      <c r="D219" s="20" t="s">
        <v>387</v>
      </c>
      <c r="E219" s="19" t="s">
        <v>360</v>
      </c>
      <c r="F219" s="17">
        <v>15</v>
      </c>
      <c r="G219" s="21">
        <v>190</v>
      </c>
      <c r="H219" s="22"/>
      <c r="I219" s="35"/>
      <c r="J219" s="36" t="str">
        <f>_xlfn.DISPIMG("ID_2E25B8996EA74772AEE80BCA96A2EA02",1)</f>
        <v>=DISPIMG("ID_2E25B8996EA74772AEE80BCA96A2EA02",1)</v>
      </c>
      <c r="K219" s="36"/>
      <c r="L219" s="36"/>
      <c r="M219" s="37"/>
    </row>
    <row r="220" ht="50" customHeight="1" spans="1:13">
      <c r="A220" s="17">
        <f t="shared" si="22"/>
        <v>217</v>
      </c>
      <c r="B220" s="18" t="s">
        <v>388</v>
      </c>
      <c r="C220" s="23"/>
      <c r="D220" s="20" t="s">
        <v>389</v>
      </c>
      <c r="E220" s="19" t="s">
        <v>88</v>
      </c>
      <c r="F220" s="17">
        <v>20</v>
      </c>
      <c r="G220" s="21">
        <v>42.5</v>
      </c>
      <c r="H220" s="22"/>
      <c r="I220" s="35"/>
      <c r="J220" s="36"/>
      <c r="K220" s="36"/>
      <c r="L220" s="36"/>
      <c r="M220" s="37"/>
    </row>
    <row r="221" ht="50" customHeight="1" spans="1:13">
      <c r="A221" s="17">
        <f t="shared" si="22"/>
        <v>218</v>
      </c>
      <c r="B221" s="18" t="s">
        <v>390</v>
      </c>
      <c r="C221" s="23"/>
      <c r="D221" s="20" t="s">
        <v>391</v>
      </c>
      <c r="E221" s="19" t="s">
        <v>51</v>
      </c>
      <c r="F221" s="17">
        <v>10</v>
      </c>
      <c r="G221" s="21">
        <v>4.2</v>
      </c>
      <c r="H221" s="22"/>
      <c r="I221" s="35"/>
      <c r="J221" s="36"/>
      <c r="K221" s="36"/>
      <c r="L221" s="36"/>
      <c r="M221" s="37"/>
    </row>
    <row r="222" ht="50" customHeight="1" spans="1:13">
      <c r="A222" s="17">
        <f t="shared" si="22"/>
        <v>219</v>
      </c>
      <c r="B222" s="18" t="s">
        <v>390</v>
      </c>
      <c r="C222" s="23"/>
      <c r="D222" s="20" t="s">
        <v>392</v>
      </c>
      <c r="E222" s="19" t="s">
        <v>51</v>
      </c>
      <c r="F222" s="17">
        <v>10</v>
      </c>
      <c r="G222" s="21">
        <v>6.5</v>
      </c>
      <c r="H222" s="22"/>
      <c r="I222" s="35"/>
      <c r="J222" s="36"/>
      <c r="K222" s="39" t="s">
        <v>43</v>
      </c>
      <c r="L222" s="36"/>
      <c r="M222" s="37"/>
    </row>
    <row r="223" ht="50" customHeight="1" spans="1:13">
      <c r="A223" s="17">
        <f t="shared" si="22"/>
        <v>220</v>
      </c>
      <c r="B223" s="18" t="s">
        <v>390</v>
      </c>
      <c r="C223" s="23"/>
      <c r="D223" s="20" t="s">
        <v>393</v>
      </c>
      <c r="E223" s="19" t="s">
        <v>51</v>
      </c>
      <c r="F223" s="17">
        <v>10</v>
      </c>
      <c r="G223" s="21">
        <v>7.58</v>
      </c>
      <c r="H223" s="22"/>
      <c r="I223" s="35"/>
      <c r="J223" s="36"/>
      <c r="K223" s="36"/>
      <c r="L223" s="36"/>
      <c r="M223" s="37"/>
    </row>
    <row r="224" ht="50" customHeight="1" spans="1:13">
      <c r="A224" s="17">
        <f t="shared" si="22"/>
        <v>221</v>
      </c>
      <c r="B224" s="18" t="s">
        <v>390</v>
      </c>
      <c r="C224" s="23"/>
      <c r="D224" s="20" t="s">
        <v>394</v>
      </c>
      <c r="E224" s="19" t="s">
        <v>51</v>
      </c>
      <c r="F224" s="17">
        <v>10</v>
      </c>
      <c r="G224" s="21">
        <v>9.5</v>
      </c>
      <c r="H224" s="22"/>
      <c r="I224" s="35"/>
      <c r="J224" s="36"/>
      <c r="K224" s="36"/>
      <c r="L224" s="36"/>
      <c r="M224" s="37"/>
    </row>
    <row r="225" ht="50" customHeight="1" spans="1:13">
      <c r="A225" s="17">
        <f t="shared" ref="A225:A242" si="23">ROW()-3</f>
        <v>222</v>
      </c>
      <c r="B225" s="18" t="s">
        <v>395</v>
      </c>
      <c r="C225" s="23"/>
      <c r="D225" s="20" t="s">
        <v>396</v>
      </c>
      <c r="E225" s="19" t="s">
        <v>93</v>
      </c>
      <c r="F225" s="19">
        <v>97</v>
      </c>
      <c r="G225" s="25">
        <v>2.3</v>
      </c>
      <c r="H225" s="22"/>
      <c r="I225" s="35"/>
      <c r="J225" s="38" t="str">
        <f>_xlfn.DISPIMG("ID_79ED5EF48F6F4323AF204E4E6CE3D6B8",1)</f>
        <v>=DISPIMG("ID_79ED5EF48F6F4323AF204E4E6CE3D6B8",1)</v>
      </c>
      <c r="K225" s="38"/>
      <c r="L225" s="38"/>
      <c r="M225" s="37"/>
    </row>
    <row r="226" ht="50" customHeight="1" spans="1:13">
      <c r="A226" s="17">
        <f t="shared" si="23"/>
        <v>223</v>
      </c>
      <c r="B226" s="18" t="s">
        <v>397</v>
      </c>
      <c r="C226" s="23"/>
      <c r="D226" s="20" t="s">
        <v>398</v>
      </c>
      <c r="E226" s="19" t="s">
        <v>42</v>
      </c>
      <c r="F226" s="19">
        <v>50</v>
      </c>
      <c r="G226" s="25">
        <v>3.4</v>
      </c>
      <c r="H226" s="22"/>
      <c r="I226" s="35"/>
      <c r="J226" s="38" t="str">
        <f>_xlfn.DISPIMG("ID_79ED5EF48F6F4323AF204E4E6CE3D6B8",1)</f>
        <v>=DISPIMG("ID_79ED5EF48F6F4323AF204E4E6CE3D6B8",1)</v>
      </c>
      <c r="K226" s="38"/>
      <c r="L226" s="38"/>
      <c r="M226" s="37"/>
    </row>
    <row r="227" ht="50" customHeight="1" spans="1:13">
      <c r="A227" s="17">
        <f t="shared" si="23"/>
        <v>224</v>
      </c>
      <c r="B227" s="18" t="s">
        <v>399</v>
      </c>
      <c r="C227" s="19"/>
      <c r="D227" s="20" t="s">
        <v>400</v>
      </c>
      <c r="E227" s="19" t="s">
        <v>42</v>
      </c>
      <c r="F227" s="19">
        <v>10</v>
      </c>
      <c r="G227" s="25">
        <v>12.5</v>
      </c>
      <c r="H227" s="22"/>
      <c r="I227" s="35"/>
      <c r="J227" s="38" t="str">
        <f>_xlfn.DISPIMG("ID_6A334BC8002F48BC9814EB82C2F09221",1)</f>
        <v>=DISPIMG("ID_6A334BC8002F48BC9814EB82C2F09221",1)</v>
      </c>
      <c r="K227" s="38"/>
      <c r="L227" s="38"/>
      <c r="M227" s="37"/>
    </row>
    <row r="228" ht="50" customHeight="1" spans="1:14">
      <c r="A228" s="17">
        <f t="shared" si="23"/>
        <v>225</v>
      </c>
      <c r="B228" s="18" t="s">
        <v>401</v>
      </c>
      <c r="C228" s="19"/>
      <c r="D228" s="20" t="s">
        <v>402</v>
      </c>
      <c r="E228" s="19" t="s">
        <v>403</v>
      </c>
      <c r="F228" s="19">
        <v>10</v>
      </c>
      <c r="G228" s="25">
        <v>4.4</v>
      </c>
      <c r="H228" s="22"/>
      <c r="I228" s="35"/>
      <c r="J228" s="38" t="str">
        <f>_xlfn.DISPIMG("ID_EB956F952CB845BF9FC63AF19A90B99C",1)</f>
        <v>=DISPIMG("ID_EB956F952CB845BF9FC63AF19A90B99C",1)</v>
      </c>
      <c r="K228" s="38"/>
      <c r="L228" s="38"/>
      <c r="M228" s="37"/>
      <c r="N228" s="64"/>
    </row>
    <row r="229" ht="50" customHeight="1" spans="1:13">
      <c r="A229" s="17">
        <f t="shared" si="23"/>
        <v>226</v>
      </c>
      <c r="B229" s="18" t="s">
        <v>401</v>
      </c>
      <c r="C229" s="19"/>
      <c r="D229" s="20" t="s">
        <v>404</v>
      </c>
      <c r="E229" s="19" t="s">
        <v>405</v>
      </c>
      <c r="F229" s="19">
        <v>10</v>
      </c>
      <c r="G229" s="21">
        <v>117</v>
      </c>
      <c r="H229" s="22"/>
      <c r="I229" s="35"/>
      <c r="J229" s="36" t="str">
        <f>_xlfn.DISPIMG("ID_661B29B58C504A10A72F5EA15EAB19B5",1)</f>
        <v>=DISPIMG("ID_661B29B58C504A10A72F5EA15EAB19B5",1)</v>
      </c>
      <c r="K229" s="36"/>
      <c r="L229" s="36"/>
      <c r="M229" s="37"/>
    </row>
    <row r="230" ht="50" customHeight="1" spans="1:14">
      <c r="A230" s="17">
        <f t="shared" si="23"/>
        <v>227</v>
      </c>
      <c r="B230" s="18" t="s">
        <v>406</v>
      </c>
      <c r="C230" s="23"/>
      <c r="D230" s="24" t="s">
        <v>407</v>
      </c>
      <c r="E230" s="17" t="s">
        <v>51</v>
      </c>
      <c r="F230" s="17">
        <v>5</v>
      </c>
      <c r="G230" s="21">
        <v>300</v>
      </c>
      <c r="H230" s="22"/>
      <c r="I230" s="35"/>
      <c r="J230" s="36"/>
      <c r="K230" s="36"/>
      <c r="L230" s="36"/>
      <c r="M230" s="37"/>
      <c r="N230" s="1"/>
    </row>
    <row r="231" ht="50" customHeight="1" spans="1:13">
      <c r="A231" s="17">
        <f t="shared" si="23"/>
        <v>228</v>
      </c>
      <c r="B231" s="18" t="s">
        <v>408</v>
      </c>
      <c r="C231" s="23"/>
      <c r="D231" s="20" t="s">
        <v>409</v>
      </c>
      <c r="E231" s="19" t="s">
        <v>51</v>
      </c>
      <c r="F231" s="17">
        <v>10</v>
      </c>
      <c r="G231" s="21">
        <v>3</v>
      </c>
      <c r="H231" s="22"/>
      <c r="I231" s="35"/>
      <c r="J231" s="36"/>
      <c r="K231" s="36"/>
      <c r="L231" s="36"/>
      <c r="M231" s="37"/>
    </row>
    <row r="232" ht="50" customHeight="1" spans="1:13">
      <c r="A232" s="17">
        <f t="shared" si="23"/>
        <v>229</v>
      </c>
      <c r="B232" s="18" t="s">
        <v>410</v>
      </c>
      <c r="C232" s="23"/>
      <c r="D232" s="20" t="s">
        <v>411</v>
      </c>
      <c r="E232" s="19" t="s">
        <v>51</v>
      </c>
      <c r="F232" s="17">
        <v>10</v>
      </c>
      <c r="G232" s="21">
        <v>108</v>
      </c>
      <c r="H232" s="22"/>
      <c r="I232" s="35"/>
      <c r="J232" s="36"/>
      <c r="K232" s="36"/>
      <c r="L232" s="36"/>
      <c r="M232" s="37"/>
    </row>
    <row r="233" ht="50" customHeight="1" spans="1:13">
      <c r="A233" s="17">
        <f t="shared" si="23"/>
        <v>230</v>
      </c>
      <c r="B233" s="18" t="s">
        <v>412</v>
      </c>
      <c r="C233" s="19"/>
      <c r="D233" s="20" t="s">
        <v>413</v>
      </c>
      <c r="E233" s="19" t="s">
        <v>414</v>
      </c>
      <c r="F233" s="19">
        <v>10</v>
      </c>
      <c r="G233" s="25">
        <v>13.2</v>
      </c>
      <c r="H233" s="22"/>
      <c r="I233" s="35"/>
      <c r="J233" s="38" t="str">
        <f>_xlfn.DISPIMG("ID_A89A86BB19DC4839807C2B01115C1738",1)</f>
        <v>=DISPIMG("ID_A89A86BB19DC4839807C2B01115C1738",1)</v>
      </c>
      <c r="K233" s="38"/>
      <c r="L233" s="38"/>
      <c r="M233" s="37"/>
    </row>
    <row r="234" ht="50" customHeight="1" spans="1:13">
      <c r="A234" s="17">
        <f t="shared" si="23"/>
        <v>231</v>
      </c>
      <c r="B234" s="18" t="s">
        <v>412</v>
      </c>
      <c r="C234" s="19" t="s">
        <v>415</v>
      </c>
      <c r="D234" s="20" t="s">
        <v>416</v>
      </c>
      <c r="E234" s="19" t="s">
        <v>405</v>
      </c>
      <c r="F234" s="19">
        <v>10</v>
      </c>
      <c r="G234" s="21">
        <v>13.2</v>
      </c>
      <c r="H234" s="22"/>
      <c r="I234" s="35"/>
      <c r="J234" s="38" t="str">
        <f>_xlfn.DISPIMG("ID_A89A86BB19DC4839807C2B01115C1738",1)</f>
        <v>=DISPIMG("ID_A89A86BB19DC4839807C2B01115C1738",1)</v>
      </c>
      <c r="K234" s="39" t="s">
        <v>43</v>
      </c>
      <c r="L234" s="39" t="s">
        <v>43</v>
      </c>
      <c r="M234" s="37"/>
    </row>
    <row r="235" ht="50" customHeight="1" spans="1:13">
      <c r="A235" s="30">
        <f t="shared" si="23"/>
        <v>232</v>
      </c>
      <c r="B235" s="26" t="s">
        <v>417</v>
      </c>
      <c r="C235" s="20"/>
      <c r="D235" s="18">
        <v>10</v>
      </c>
      <c r="E235" s="19" t="s">
        <v>113</v>
      </c>
      <c r="F235" s="18">
        <v>10</v>
      </c>
      <c r="G235" s="21">
        <v>3.3</v>
      </c>
      <c r="H235" s="22"/>
      <c r="I235" s="65"/>
      <c r="J235" s="58" t="str">
        <f>_xlfn.DISPIMG("ID_E114AA2E75AC4864B94E550DAFC3D2B4",1)</f>
        <v>=DISPIMG("ID_E114AA2E75AC4864B94E550DAFC3D2B4",1)</v>
      </c>
      <c r="K235" s="58"/>
      <c r="L235" s="58"/>
      <c r="M235" s="58"/>
    </row>
    <row r="236" ht="50" customHeight="1" spans="1:13">
      <c r="A236" s="56">
        <f t="shared" si="23"/>
        <v>233</v>
      </c>
      <c r="B236" s="26" t="s">
        <v>418</v>
      </c>
      <c r="C236" s="20" t="s">
        <v>419</v>
      </c>
      <c r="D236" s="18">
        <v>10</v>
      </c>
      <c r="E236" s="19" t="s">
        <v>51</v>
      </c>
      <c r="F236" s="18">
        <v>10</v>
      </c>
      <c r="G236" s="21">
        <v>19</v>
      </c>
      <c r="H236" s="22"/>
      <c r="I236" s="65"/>
      <c r="J236" s="58" t="str">
        <f>_xlfn.DISPIMG("ID_D8C886A7ECD944659A8DDA6DCA0F6895",1)</f>
        <v>=DISPIMG("ID_D8C886A7ECD944659A8DDA6DCA0F6895",1)</v>
      </c>
      <c r="K236" s="58"/>
      <c r="L236" s="58"/>
      <c r="M236" s="58"/>
    </row>
    <row r="237" ht="50" customHeight="1" spans="1:13">
      <c r="A237" s="30">
        <f t="shared" si="23"/>
        <v>234</v>
      </c>
      <c r="B237" s="26" t="s">
        <v>420</v>
      </c>
      <c r="C237" s="20" t="s">
        <v>421</v>
      </c>
      <c r="D237" s="18">
        <v>10</v>
      </c>
      <c r="E237" s="19" t="s">
        <v>51</v>
      </c>
      <c r="F237" s="18">
        <v>10</v>
      </c>
      <c r="G237" s="21">
        <v>35</v>
      </c>
      <c r="H237" s="22"/>
      <c r="I237" s="65"/>
      <c r="J237" s="58" t="str">
        <f>_xlfn.DISPIMG("ID_931BF1014E6D4626ACA6BE079F84D662",1)</f>
        <v>=DISPIMG("ID_931BF1014E6D4626ACA6BE079F84D662",1)</v>
      </c>
      <c r="K237" s="58"/>
      <c r="L237" s="58"/>
      <c r="M237" s="58"/>
    </row>
    <row r="238" ht="50" customHeight="1" spans="1:13">
      <c r="A238" s="56">
        <f t="shared" si="23"/>
        <v>235</v>
      </c>
      <c r="B238" s="26" t="s">
        <v>422</v>
      </c>
      <c r="C238" s="20" t="s">
        <v>423</v>
      </c>
      <c r="D238" s="18">
        <v>10</v>
      </c>
      <c r="E238" s="19" t="s">
        <v>31</v>
      </c>
      <c r="F238" s="18">
        <v>10</v>
      </c>
      <c r="G238" s="21">
        <v>0.8</v>
      </c>
      <c r="H238" s="22"/>
      <c r="I238" s="65"/>
      <c r="J238" s="58"/>
      <c r="K238" s="58"/>
      <c r="L238" s="58"/>
      <c r="M238" s="58"/>
    </row>
    <row r="239" ht="50" customHeight="1" spans="1:13">
      <c r="A239" s="30">
        <f t="shared" si="23"/>
        <v>236</v>
      </c>
      <c r="B239" s="26" t="s">
        <v>159</v>
      </c>
      <c r="C239" s="20" t="s">
        <v>424</v>
      </c>
      <c r="D239" s="18">
        <v>10</v>
      </c>
      <c r="E239" s="19" t="s">
        <v>88</v>
      </c>
      <c r="F239" s="18">
        <v>10</v>
      </c>
      <c r="G239" s="21">
        <v>25</v>
      </c>
      <c r="H239" s="22"/>
      <c r="I239" s="65"/>
      <c r="J239" s="58" t="str">
        <f>_xlfn.DISPIMG("ID_D2CF82C28041421DB1D12FB5C338AEA5",1)</f>
        <v>=DISPIMG("ID_D2CF82C28041421DB1D12FB5C338AEA5",1)</v>
      </c>
      <c r="K239" s="58"/>
      <c r="L239" s="58"/>
      <c r="M239" s="58"/>
    </row>
    <row r="240" ht="50" customHeight="1" spans="1:13">
      <c r="A240" s="56">
        <f t="shared" si="23"/>
        <v>237</v>
      </c>
      <c r="B240" s="26" t="s">
        <v>425</v>
      </c>
      <c r="C240" s="20" t="s">
        <v>426</v>
      </c>
      <c r="D240" s="18">
        <v>10</v>
      </c>
      <c r="E240" s="19" t="s">
        <v>51</v>
      </c>
      <c r="F240" s="18">
        <v>10</v>
      </c>
      <c r="G240" s="21">
        <v>18</v>
      </c>
      <c r="H240" s="22"/>
      <c r="I240" s="65"/>
      <c r="J240" s="58" t="str">
        <f>_xlfn.DISPIMG("ID_16BDD9B347324763A29B15523A97E7CF",1)</f>
        <v>=DISPIMG("ID_16BDD9B347324763A29B15523A97E7CF",1)</v>
      </c>
      <c r="K240" s="58"/>
      <c r="L240" s="58"/>
      <c r="M240" s="58"/>
    </row>
    <row r="241" ht="50" customHeight="1" spans="1:13">
      <c r="A241" s="30">
        <f t="shared" si="23"/>
        <v>238</v>
      </c>
      <c r="B241" s="26" t="s">
        <v>427</v>
      </c>
      <c r="C241" s="20" t="s">
        <v>428</v>
      </c>
      <c r="D241" s="18">
        <v>10</v>
      </c>
      <c r="E241" s="19" t="s">
        <v>88</v>
      </c>
      <c r="F241" s="18">
        <v>10</v>
      </c>
      <c r="G241" s="21">
        <v>10</v>
      </c>
      <c r="H241" s="22"/>
      <c r="I241" s="65"/>
      <c r="J241" s="58" t="str">
        <f>_xlfn.DISPIMG("ID_E7666984EA374827B73FE12B41E523FD",1)</f>
        <v>=DISPIMG("ID_E7666984EA374827B73FE12B41E523FD",1)</v>
      </c>
      <c r="K241" s="58"/>
      <c r="L241" s="58"/>
      <c r="M241" s="58"/>
    </row>
    <row r="242" ht="50" customHeight="1" spans="1:13">
      <c r="A242" s="56">
        <f t="shared" si="23"/>
        <v>239</v>
      </c>
      <c r="B242" s="26" t="s">
        <v>429</v>
      </c>
      <c r="C242" s="20" t="s">
        <v>430</v>
      </c>
      <c r="D242" s="18">
        <v>50</v>
      </c>
      <c r="E242" s="19" t="s">
        <v>31</v>
      </c>
      <c r="F242" s="18">
        <v>50</v>
      </c>
      <c r="G242" s="21">
        <v>4</v>
      </c>
      <c r="H242" s="22"/>
      <c r="I242" s="65"/>
      <c r="J242" s="58"/>
      <c r="K242" s="58"/>
      <c r="L242" s="58"/>
      <c r="M242" s="58"/>
    </row>
    <row r="243" ht="50" customHeight="1" spans="1:13">
      <c r="A243" s="57" t="s">
        <v>431</v>
      </c>
      <c r="B243" s="57"/>
      <c r="C243" s="57"/>
      <c r="D243" s="57"/>
      <c r="E243" s="57"/>
      <c r="F243" s="57"/>
      <c r="G243" s="57"/>
      <c r="H243" s="22">
        <f>SUM(H4:H242)</f>
        <v>0</v>
      </c>
      <c r="I243" s="57"/>
      <c r="J243" s="58"/>
      <c r="K243" s="58"/>
      <c r="L243" s="58"/>
      <c r="M243" s="58"/>
    </row>
    <row r="244" ht="50" customHeight="1" spans="1:13">
      <c r="A244" s="58" t="s">
        <v>432</v>
      </c>
      <c r="B244" s="59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6"/>
    </row>
    <row r="245" ht="50" customHeight="1" spans="1:13">
      <c r="A245" s="58" t="s">
        <v>433</v>
      </c>
      <c r="B245" s="59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6"/>
    </row>
    <row r="246" ht="50" customHeight="1" spans="1:13">
      <c r="A246" s="57" t="s">
        <v>434</v>
      </c>
      <c r="B246" s="57"/>
      <c r="C246" s="61"/>
      <c r="D246" s="57"/>
      <c r="E246" s="61"/>
      <c r="F246" s="57" t="s">
        <v>435</v>
      </c>
      <c r="G246" s="57"/>
      <c r="H246" s="22"/>
      <c r="I246" s="57"/>
      <c r="J246" s="57"/>
      <c r="K246" s="57"/>
      <c r="L246" s="57"/>
      <c r="M246" s="57"/>
    </row>
    <row r="247" ht="50" customHeight="1" spans="1:13">
      <c r="A247" s="62" t="s">
        <v>436</v>
      </c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7"/>
    </row>
  </sheetData>
  <sheetProtection formatCells="0" formatColumns="0" formatRows="0" insertRows="0" insertColumns="0" insertHyperlinks="0" deleteColumns="0" deleteRows="0" sort="0" autoFilter="0" pivotTables="0"/>
  <protectedRanges>
    <protectedRange sqref="F244:J247" name="区域1"/>
  </protectedRanges>
  <autoFilter xmlns:etc="http://www.wps.cn/officeDocument/2017/etCustomData" ref="A3:M247" etc:filterBottomFollowUsedRange="0">
    <sortState ref="A3:M247">
      <sortCondition ref="C2" descending="1"/>
    </sortState>
    <extLst/>
  </autoFilter>
  <mergeCells count="9">
    <mergeCell ref="A1:M1"/>
    <mergeCell ref="A2:M2"/>
    <mergeCell ref="A243:G243"/>
    <mergeCell ref="B244:M244"/>
    <mergeCell ref="B245:M245"/>
    <mergeCell ref="A246:B246"/>
    <mergeCell ref="D246:E246"/>
    <mergeCell ref="I246:M246"/>
    <mergeCell ref="A247:M247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Bileygr</cp:lastModifiedBy>
  <dcterms:created xsi:type="dcterms:W3CDTF">2024-05-08T15:42:00Z</dcterms:created>
  <dcterms:modified xsi:type="dcterms:W3CDTF">2025-07-08T03:47:34Z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BC38A343C80949B3A69E65D92F5586BD_13</vt:lpwstr>
  </property>
  <property fmtid="{D5CDD505-2E9C-101B-9397-08002B2CF9AE}" pid="3" name="KSOProductBuildVer">
    <vt:lpwstr>2052-12.1.0.21915</vt:lpwstr>
  </property>
</Properties>
</file>